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50" windowHeight="7320" tabRatio="574" firstSheet="1" activeTab="1"/>
  </bookViews>
  <sheets>
    <sheet name="0000000" sheetId="1" state="veryHidden" r:id="rId1"/>
    <sheet name="IS" sheetId="2" r:id="rId2"/>
    <sheet name="BS" sheetId="3" r:id="rId3"/>
    <sheet name="Equity" sheetId="4" r:id="rId4"/>
    <sheet name="CF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'BS'!$A$1:$F$80</definedName>
    <definedName name="_xlnm.Print_Area" localSheetId="4">'CFS'!$A$1:$H$86</definedName>
    <definedName name="_xlnm.Print_Area" localSheetId="3">'Equity'!$A$1:$T$74</definedName>
    <definedName name="_xlnm.Print_Area" localSheetId="1">'IS'!$A$1:$H$77</definedName>
  </definedNames>
  <calcPr fullCalcOnLoad="1"/>
</workbook>
</file>

<file path=xl/sharedStrings.xml><?xml version="1.0" encoding="utf-8"?>
<sst xmlns="http://schemas.openxmlformats.org/spreadsheetml/2006/main" count="233" uniqueCount="177">
  <si>
    <t>Total</t>
  </si>
  <si>
    <t>RM'000</t>
  </si>
  <si>
    <t>Revenue</t>
  </si>
  <si>
    <t>Other operating income</t>
  </si>
  <si>
    <t>(Incorporated in Malaysia)</t>
  </si>
  <si>
    <t>Property, plant and equipment</t>
  </si>
  <si>
    <t>Current assets</t>
  </si>
  <si>
    <t>Inventories</t>
  </si>
  <si>
    <t>Short term borrowings</t>
  </si>
  <si>
    <t>Reserves</t>
  </si>
  <si>
    <t>Long term borrowings</t>
  </si>
  <si>
    <t>(RM '000)</t>
  </si>
  <si>
    <t>Retained</t>
  </si>
  <si>
    <t>Share Capital</t>
  </si>
  <si>
    <t>Profits</t>
  </si>
  <si>
    <t>Cash and bank balances</t>
  </si>
  <si>
    <t>Bank overdrafts</t>
  </si>
  <si>
    <t>Diluted earnings per ordinary share (sen)</t>
  </si>
  <si>
    <t>Trade and other receivables</t>
  </si>
  <si>
    <t>Trade and other payables</t>
  </si>
  <si>
    <t>Taxation</t>
  </si>
  <si>
    <t>As at</t>
  </si>
  <si>
    <t>Cash and cash equivalents at 1 January</t>
  </si>
  <si>
    <t>Chk</t>
  </si>
  <si>
    <t>Tax recoverable</t>
  </si>
  <si>
    <t>Operating profit before working capital changes</t>
  </si>
  <si>
    <t>Changes in working capital</t>
  </si>
  <si>
    <t>Purchase of property, plant and equipment</t>
  </si>
  <si>
    <t>Proceeds from disposal of property, plant and equipment</t>
  </si>
  <si>
    <t>Tax paid</t>
  </si>
  <si>
    <t>Cash Flows From Operating Activities</t>
  </si>
  <si>
    <t xml:space="preserve">3 months ended </t>
  </si>
  <si>
    <t>Interest expense</t>
  </si>
  <si>
    <t>Interest income</t>
  </si>
  <si>
    <t>Interest received</t>
  </si>
  <si>
    <t>Interest paid</t>
  </si>
  <si>
    <t>Cash Flows From Investing Activities</t>
  </si>
  <si>
    <t>Unaudited Condensed Consolidated Statements of Changes in Equity</t>
  </si>
  <si>
    <t>Unaudited Condensed Consolidated Cash Flow Statements</t>
  </si>
  <si>
    <t>Basic earnings per ordinary share (sen)</t>
  </si>
  <si>
    <t xml:space="preserve">Gain on disposal of property, plant and equipment </t>
  </si>
  <si>
    <t>Tax payable</t>
  </si>
  <si>
    <t>Profit before tax</t>
  </si>
  <si>
    <t>Cash and cash equivalents included in the cash flow statement comprise the following balance sheet amounts:-</t>
  </si>
  <si>
    <t>Share</t>
  </si>
  <si>
    <t>Capital</t>
  </si>
  <si>
    <t xml:space="preserve">Share </t>
  </si>
  <si>
    <t>Redeemable</t>
  </si>
  <si>
    <t>Preference Shares</t>
  </si>
  <si>
    <t>Dividends</t>
  </si>
  <si>
    <t>Cash Flows From Financing Activities</t>
  </si>
  <si>
    <t>Convertible Cumulative</t>
  </si>
  <si>
    <t>Goodwill on consolidation</t>
  </si>
  <si>
    <t>Investment in associated companies</t>
  </si>
  <si>
    <t>Cash generated from operations</t>
  </si>
  <si>
    <t>31 December 2005</t>
  </si>
  <si>
    <t>Net cash generated from operating activities</t>
  </si>
  <si>
    <t>Increase in trade and other payables</t>
  </si>
  <si>
    <t>Premium</t>
  </si>
  <si>
    <t>RM '000</t>
  </si>
  <si>
    <t>Note : The detailed calculation for the Basic and Diluted earnings per share is shown in note B13.</t>
  </si>
  <si>
    <t>As at 1 January 2006</t>
  </si>
  <si>
    <t>As at 1 January 2005</t>
  </si>
  <si>
    <t>The Condensed Financial Statements should be read in conjunction with the Audited Financial Statements for the financial year ended 31 December 2005.</t>
  </si>
  <si>
    <t xml:space="preserve">Exchange </t>
  </si>
  <si>
    <t>Fluctuation</t>
  </si>
  <si>
    <t>Reserve</t>
  </si>
  <si>
    <t>Effect of exchange rate changes</t>
  </si>
  <si>
    <t>Dividend received from associated company</t>
  </si>
  <si>
    <t>Repayment of loans and other borrowings</t>
  </si>
  <si>
    <t>Attributable to :</t>
  </si>
  <si>
    <t xml:space="preserve">Option </t>
  </si>
  <si>
    <t>Cost of sales</t>
  </si>
  <si>
    <t>Administrative expenses</t>
  </si>
  <si>
    <t xml:space="preserve"> Profit for the period</t>
  </si>
  <si>
    <t>Equity</t>
  </si>
  <si>
    <t>Non Distributable</t>
  </si>
  <si>
    <t>Distributable</t>
  </si>
  <si>
    <t>Gross profit</t>
  </si>
  <si>
    <t>Net assets per share (RM)</t>
  </si>
  <si>
    <t>Total equity</t>
  </si>
  <si>
    <t>Liabilities</t>
  </si>
  <si>
    <t>Total liabilities</t>
  </si>
  <si>
    <t>Total equity and liabilities</t>
  </si>
  <si>
    <t>Total assets</t>
  </si>
  <si>
    <t>EQUITY AND LIABILITIES</t>
  </si>
  <si>
    <t>ASSETS</t>
  </si>
  <si>
    <t>Shareholders of the Company</t>
  </si>
  <si>
    <t>Profit for the period</t>
  </si>
  <si>
    <t xml:space="preserve">    of the Company</t>
  </si>
  <si>
    <t xml:space="preserve">Total equity attributable to shareholders </t>
  </si>
  <si>
    <t>Reversal of overprovision of corporate expenses</t>
  </si>
  <si>
    <t xml:space="preserve">   relating to  corporate exercise in previous year</t>
  </si>
  <si>
    <t>Share of profits in an</t>
  </si>
  <si>
    <t xml:space="preserve">  associated company</t>
  </si>
  <si>
    <t>Provision for retirement benefits</t>
  </si>
  <si>
    <t>Current Quarter</t>
  </si>
  <si>
    <t>Cumulative</t>
  </si>
  <si>
    <t>Minority Interests</t>
  </si>
  <si>
    <t>Capital and reserves</t>
  </si>
  <si>
    <t>Share capital</t>
  </si>
  <si>
    <t>Share premium</t>
  </si>
  <si>
    <t>Redeemable convertible cumulative preference shares</t>
  </si>
  <si>
    <t>Exchange fluctuation reserves</t>
  </si>
  <si>
    <t xml:space="preserve"> Options reserve</t>
  </si>
  <si>
    <t>Long term payables</t>
  </si>
  <si>
    <t xml:space="preserve">Attributable to </t>
  </si>
  <si>
    <t xml:space="preserve">shareholders of </t>
  </si>
  <si>
    <t>the Company</t>
  </si>
  <si>
    <t>Exchange difference arising from translation of</t>
  </si>
  <si>
    <t>Recognition of share-based payments</t>
  </si>
  <si>
    <t>Share of profit of an associated company</t>
  </si>
  <si>
    <t xml:space="preserve">    subsidiary companies</t>
  </si>
  <si>
    <t xml:space="preserve"> financial statements of foreign</t>
  </si>
  <si>
    <t xml:space="preserve"> discontinued operation</t>
  </si>
  <si>
    <t xml:space="preserve"> - For profit from discontinued operations</t>
  </si>
  <si>
    <t xml:space="preserve">  - For profit from continuing operations</t>
  </si>
  <si>
    <t xml:space="preserve"> the continuing operations</t>
  </si>
  <si>
    <t xml:space="preserve"> shareholders of the Company:</t>
  </si>
  <si>
    <t xml:space="preserve">Earnings per share attributable to </t>
  </si>
  <si>
    <t>Continuing operations</t>
  </si>
  <si>
    <t>Profit from continuing operations</t>
  </si>
  <si>
    <t>Profit for the period from</t>
  </si>
  <si>
    <t>Net income recognised directly in equity</t>
  </si>
  <si>
    <t>Issue of ordinary shares pursuant to ESOS</t>
  </si>
  <si>
    <t>Non current assets</t>
  </si>
  <si>
    <t>Non-current liablilities</t>
  </si>
  <si>
    <t>Current liablilities</t>
  </si>
  <si>
    <t>Retained profits</t>
  </si>
  <si>
    <t>Certain comparative figures have been reclassified to comform with current period's presentation.</t>
  </si>
  <si>
    <t>Proceeds from disposal of subsidiary companies</t>
  </si>
  <si>
    <t>Increase in inventories</t>
  </si>
  <si>
    <t>Decrease/(Increase) in trade and other receivables</t>
  </si>
  <si>
    <t>Fixed deposit with licensed banks</t>
  </si>
  <si>
    <t>Minority interests</t>
  </si>
  <si>
    <t>Deferred taxation liabilities</t>
  </si>
  <si>
    <t>Proceeds from issuance of shares</t>
  </si>
  <si>
    <t>Fixed deposits with licensed banks</t>
  </si>
  <si>
    <t xml:space="preserve">Amount pledged </t>
  </si>
  <si>
    <t>Conversion of Redeemable Convertible Cumulative Preference Shares</t>
  </si>
  <si>
    <t xml:space="preserve">Dividend paid </t>
  </si>
  <si>
    <t>Dividend paid to Minority interests</t>
  </si>
  <si>
    <t>Investment in subsidiary companies</t>
  </si>
  <si>
    <t>Net cash (used in)/ generated from financing activities</t>
  </si>
  <si>
    <t>Net (decrease)/increase in cash and cash equivalents</t>
  </si>
  <si>
    <t>Recognation of share base payment</t>
  </si>
  <si>
    <t>Deferred tax assets</t>
  </si>
  <si>
    <t>Depreciation of property, plant and equipment</t>
  </si>
  <si>
    <t>Drawdown of loan and hire purchase</t>
  </si>
  <si>
    <t xml:space="preserve"> - Ordinary Shares</t>
  </si>
  <si>
    <t xml:space="preserve"> - Redeemable Convertible Preference Shares</t>
  </si>
  <si>
    <t xml:space="preserve"> - Ordinary shares</t>
  </si>
  <si>
    <t xml:space="preserve"> </t>
  </si>
  <si>
    <t>Unaudited Condensed Consolidated Income Statements For The Year Ended 31 December 2006</t>
  </si>
  <si>
    <t xml:space="preserve">12 months ended </t>
  </si>
  <si>
    <t>Unaudited Condensed Consolidated Balance Sheets As At 31 December 2006</t>
  </si>
  <si>
    <t>31 December 2006</t>
  </si>
  <si>
    <t>Long term receivables</t>
  </si>
  <si>
    <t>For The Twelve Months Ended 31 December 2006</t>
  </si>
  <si>
    <t>As at 31 December 2006</t>
  </si>
  <si>
    <t>As at 31 December 2005</t>
  </si>
  <si>
    <t>Twelve months ended</t>
  </si>
  <si>
    <t xml:space="preserve"> - Minority shareholders</t>
  </si>
  <si>
    <t>Issuance of shares by subsidiary company</t>
  </si>
  <si>
    <t>Cash and cash equivalents at 31 December</t>
  </si>
  <si>
    <t xml:space="preserve"> - Redeemable Convertible Cumulative Preference Shares</t>
  </si>
  <si>
    <t>Allowance for retirement benefit</t>
  </si>
  <si>
    <t>Property, plant and equipment written off</t>
  </si>
  <si>
    <t>Allowance for doubtful debts</t>
  </si>
  <si>
    <t>Write back of doubtful debts allowance for doubtful debts</t>
  </si>
  <si>
    <t>Increase/Decrease of pledged fixed deposits</t>
  </si>
  <si>
    <t>Net cash used in investing activities</t>
  </si>
  <si>
    <t>Profit before taxation</t>
  </si>
  <si>
    <t>Profit for the period from the</t>
  </si>
  <si>
    <t>Adjustment for:</t>
  </si>
  <si>
    <t>Minority interests for acquisition of subsidiary companies</t>
  </si>
  <si>
    <r>
      <t xml:space="preserve">SCOMI MARINE BHD </t>
    </r>
    <r>
      <rPr>
        <b/>
        <sz val="10"/>
        <rFont val="Tahoma"/>
        <family val="2"/>
      </rPr>
      <t xml:space="preserve"> (</t>
    </r>
    <r>
      <rPr>
        <b/>
        <sz val="8"/>
        <rFont val="Tahoma"/>
        <family val="2"/>
      </rPr>
      <t xml:space="preserve">397979-A)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</si>
</sst>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dd\ mmmm"/>
    <numFmt numFmtId="174" formatCode="0.000"/>
    <numFmt numFmtId="175" formatCode="0.0"/>
    <numFmt numFmtId="176" formatCode="_(* #,##0.0_);_(* \(#,##0.0\);_(* &quot;-&quot;??_);_(@_)"/>
  </numFmts>
  <fonts count="22">
    <font>
      <sz val="12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Accounting"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Tahoma"/>
      <family val="2"/>
    </font>
    <font>
      <u val="single"/>
      <sz val="12"/>
      <name val="Tahoma"/>
      <family val="2"/>
    </font>
    <font>
      <sz val="8"/>
      <name val="Arial"/>
      <family val="0"/>
    </font>
    <font>
      <i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i/>
      <sz val="11"/>
      <name val="Tahoma"/>
      <family val="2"/>
    </font>
    <font>
      <sz val="11"/>
      <name val="Arial"/>
      <family val="0"/>
    </font>
    <font>
      <sz val="11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Fill="1" applyBorder="1" applyAlignment="1">
      <alignment/>
    </xf>
    <xf numFmtId="172" fontId="6" fillId="0" borderId="0" xfId="15" applyNumberFormat="1" applyFont="1" applyAlignment="1">
      <alignment horizontal="left"/>
    </xf>
    <xf numFmtId="172" fontId="8" fillId="0" borderId="0" xfId="15" applyNumberFormat="1" applyFont="1" applyAlignment="1">
      <alignment horizontal="left"/>
    </xf>
    <xf numFmtId="172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72" fontId="9" fillId="0" borderId="0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horizontal="left"/>
    </xf>
    <xf numFmtId="172" fontId="10" fillId="0" borderId="0" xfId="15" applyNumberFormat="1" applyFont="1" applyFill="1" applyBorder="1" applyAlignment="1">
      <alignment horizontal="center"/>
    </xf>
    <xf numFmtId="172" fontId="10" fillId="0" borderId="1" xfId="15" applyNumberFormat="1" applyFont="1" applyFill="1" applyBorder="1" applyAlignment="1">
      <alignment horizontal="center"/>
    </xf>
    <xf numFmtId="172" fontId="10" fillId="0" borderId="0" xfId="15" applyNumberFormat="1" applyFont="1" applyAlignment="1">
      <alignment/>
    </xf>
    <xf numFmtId="2" fontId="10" fillId="0" borderId="0" xfId="15" applyNumberFormat="1" applyFont="1" applyFill="1" applyBorder="1" applyAlignment="1">
      <alignment horizontal="center"/>
    </xf>
    <xf numFmtId="2" fontId="10" fillId="0" borderId="0" xfId="15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72" fontId="10" fillId="0" borderId="0" xfId="15" applyNumberFormat="1" applyFont="1" applyFill="1" applyBorder="1" applyAlignment="1">
      <alignment/>
    </xf>
    <xf numFmtId="172" fontId="7" fillId="0" borderId="0" xfId="15" applyNumberFormat="1" applyFont="1" applyFill="1" applyAlignment="1">
      <alignment/>
    </xf>
    <xf numFmtId="0" fontId="8" fillId="0" borderId="0" xfId="21" applyFont="1">
      <alignment/>
      <protection/>
    </xf>
    <xf numFmtId="172" fontId="8" fillId="0" borderId="0" xfId="15" applyNumberFormat="1" applyFont="1" applyFill="1" applyAlignment="1">
      <alignment horizontal="center"/>
    </xf>
    <xf numFmtId="172" fontId="8" fillId="0" borderId="0" xfId="15" applyNumberFormat="1" applyFont="1" applyAlignment="1">
      <alignment/>
    </xf>
    <xf numFmtId="0" fontId="9" fillId="0" borderId="0" xfId="21" applyFont="1">
      <alignment/>
      <protection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Fill="1" applyAlignment="1">
      <alignment horizontal="center"/>
    </xf>
    <xf numFmtId="0" fontId="10" fillId="0" borderId="0" xfId="21" applyFont="1" applyAlignment="1">
      <alignment horizontal="center"/>
      <protection/>
    </xf>
    <xf numFmtId="172" fontId="10" fillId="0" borderId="0" xfId="15" applyNumberFormat="1" applyFont="1" applyAlignment="1">
      <alignment horizontal="left"/>
    </xf>
    <xf numFmtId="0" fontId="10" fillId="0" borderId="0" xfId="21" applyFont="1">
      <alignment/>
      <protection/>
    </xf>
    <xf numFmtId="172" fontId="10" fillId="0" borderId="0" xfId="15" applyNumberFormat="1" applyFont="1" applyFill="1" applyAlignment="1">
      <alignment horizontal="center"/>
    </xf>
    <xf numFmtId="172" fontId="10" fillId="0" borderId="2" xfId="15" applyNumberFormat="1" applyFont="1" applyFill="1" applyBorder="1" applyAlignment="1">
      <alignment horizontal="left"/>
    </xf>
    <xf numFmtId="172" fontId="10" fillId="0" borderId="2" xfId="15" applyNumberFormat="1" applyFont="1" applyFill="1" applyBorder="1" applyAlignment="1">
      <alignment horizontal="center"/>
    </xf>
    <xf numFmtId="172" fontId="10" fillId="0" borderId="0" xfId="21" applyNumberFormat="1" applyFont="1">
      <alignment/>
      <protection/>
    </xf>
    <xf numFmtId="172" fontId="10" fillId="0" borderId="3" xfId="15" applyNumberFormat="1" applyFont="1" applyFill="1" applyBorder="1" applyAlignment="1">
      <alignment horizontal="left"/>
    </xf>
    <xf numFmtId="172" fontId="10" fillId="0" borderId="3" xfId="15" applyNumberFormat="1" applyFont="1" applyFill="1" applyBorder="1" applyAlignment="1">
      <alignment horizontal="center"/>
    </xf>
    <xf numFmtId="172" fontId="10" fillId="0" borderId="4" xfId="15" applyNumberFormat="1" applyFont="1" applyFill="1" applyBorder="1" applyAlignment="1">
      <alignment horizontal="center"/>
    </xf>
    <xf numFmtId="172" fontId="8" fillId="0" borderId="5" xfId="15" applyNumberFormat="1" applyFont="1" applyFill="1" applyBorder="1" applyAlignment="1">
      <alignment horizontal="center"/>
    </xf>
    <xf numFmtId="0" fontId="10" fillId="2" borderId="0" xfId="21" applyFont="1" applyFill="1" applyAlignment="1">
      <alignment horizontal="center"/>
      <protection/>
    </xf>
    <xf numFmtId="172" fontId="10" fillId="2" borderId="0" xfId="15" applyNumberFormat="1" applyFont="1" applyFill="1" applyBorder="1" applyAlignment="1">
      <alignment horizontal="left"/>
    </xf>
    <xf numFmtId="172" fontId="10" fillId="2" borderId="0" xfId="15" applyNumberFormat="1" applyFont="1" applyFill="1" applyAlignment="1">
      <alignment/>
    </xf>
    <xf numFmtId="43" fontId="10" fillId="0" borderId="6" xfId="15" applyNumberFormat="1" applyFont="1" applyFill="1" applyBorder="1" applyAlignment="1">
      <alignment horizontal="center"/>
    </xf>
    <xf numFmtId="0" fontId="10" fillId="2" borderId="0" xfId="21" applyFont="1" applyFill="1">
      <alignment/>
      <protection/>
    </xf>
    <xf numFmtId="0" fontId="10" fillId="0" borderId="0" xfId="21" applyFont="1" applyFill="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172" fontId="7" fillId="0" borderId="0" xfId="15" applyNumberFormat="1" applyFont="1" applyAlignment="1">
      <alignment horizontal="right"/>
    </xf>
    <xf numFmtId="172" fontId="7" fillId="0" borderId="0" xfId="21" applyNumberFormat="1" applyFont="1" applyFill="1">
      <alignment/>
      <protection/>
    </xf>
    <xf numFmtId="0" fontId="13" fillId="0" borderId="0" xfId="21" applyFont="1" applyBorder="1" applyAlignment="1">
      <alignment horizontal="center"/>
      <protection/>
    </xf>
    <xf numFmtId="16" fontId="10" fillId="0" borderId="0" xfId="21" applyNumberFormat="1" applyFont="1" applyBorder="1" applyAlignment="1">
      <alignment horizontal="center"/>
      <protection/>
    </xf>
    <xf numFmtId="3" fontId="10" fillId="0" borderId="0" xfId="21" applyNumberFormat="1" applyFont="1" applyBorder="1">
      <alignment/>
      <protection/>
    </xf>
    <xf numFmtId="0" fontId="10" fillId="0" borderId="0" xfId="21" applyFont="1" applyBorder="1">
      <alignment/>
      <protection/>
    </xf>
    <xf numFmtId="0" fontId="10" fillId="0" borderId="0" xfId="21" applyFont="1" quotePrefix="1">
      <alignment/>
      <protection/>
    </xf>
    <xf numFmtId="172" fontId="10" fillId="0" borderId="0" xfId="15" applyNumberFormat="1" applyFont="1" applyFill="1" applyAlignment="1">
      <alignment horizontal="right"/>
    </xf>
    <xf numFmtId="172" fontId="10" fillId="0" borderId="0" xfId="15" applyNumberFormat="1" applyFont="1" applyFill="1" applyBorder="1" applyAlignment="1">
      <alignment horizontal="right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10" fillId="0" borderId="0" xfId="21" applyFont="1" applyFill="1">
      <alignment/>
      <protection/>
    </xf>
    <xf numFmtId="172" fontId="10" fillId="0" borderId="0" xfId="15" applyNumberFormat="1" applyFont="1" applyFill="1" applyAlignment="1">
      <alignment/>
    </xf>
    <xf numFmtId="3" fontId="10" fillId="0" borderId="0" xfId="21" applyNumberFormat="1" applyFont="1" applyFill="1">
      <alignment/>
      <protection/>
    </xf>
    <xf numFmtId="43" fontId="10" fillId="0" borderId="0" xfId="15" applyFont="1" applyFill="1" applyAlignment="1">
      <alignment/>
    </xf>
    <xf numFmtId="172" fontId="8" fillId="0" borderId="5" xfId="15" applyNumberFormat="1" applyFont="1" applyFill="1" applyBorder="1" applyAlignment="1">
      <alignment/>
    </xf>
    <xf numFmtId="172" fontId="8" fillId="0" borderId="1" xfId="15" applyNumberFormat="1" applyFont="1" applyFill="1" applyBorder="1" applyAlignment="1">
      <alignment horizontal="center"/>
    </xf>
    <xf numFmtId="172" fontId="13" fillId="0" borderId="0" xfId="15" applyNumberFormat="1" applyFont="1" applyFill="1" applyAlignment="1">
      <alignment horizontal="center"/>
    </xf>
    <xf numFmtId="16" fontId="11" fillId="0" borderId="0" xfId="21" applyNumberFormat="1" applyFont="1" applyFill="1" applyAlignment="1">
      <alignment horizontal="center"/>
      <protection/>
    </xf>
    <xf numFmtId="1" fontId="10" fillId="0" borderId="0" xfId="21" applyNumberFormat="1" applyFont="1" applyFill="1" applyAlignment="1">
      <alignment horizontal="center"/>
      <protection/>
    </xf>
    <xf numFmtId="1" fontId="10" fillId="0" borderId="0" xfId="15" applyNumberFormat="1" applyFont="1" applyFill="1" applyAlignment="1">
      <alignment horizontal="center"/>
    </xf>
    <xf numFmtId="172" fontId="10" fillId="0" borderId="5" xfId="15" applyNumberFormat="1" applyFont="1" applyFill="1" applyBorder="1" applyAlignment="1">
      <alignment/>
    </xf>
    <xf numFmtId="43" fontId="7" fillId="0" borderId="0" xfId="15" applyFont="1" applyBorder="1" applyAlignment="1">
      <alignment/>
    </xf>
    <xf numFmtId="43" fontId="7" fillId="0" borderId="0" xfId="15" applyFont="1" applyAlignment="1">
      <alignment/>
    </xf>
    <xf numFmtId="172" fontId="8" fillId="0" borderId="0" xfId="15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2" fontId="8" fillId="0" borderId="0" xfId="15" applyNumberFormat="1" applyFont="1" applyFill="1" applyBorder="1" applyAlignment="1" quotePrefix="1">
      <alignment/>
    </xf>
    <xf numFmtId="172" fontId="8" fillId="0" borderId="0" xfId="15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172" fontId="11" fillId="0" borderId="0" xfId="15" applyNumberFormat="1" applyFont="1" applyFill="1" applyAlignment="1">
      <alignment/>
    </xf>
    <xf numFmtId="172" fontId="17" fillId="0" borderId="0" xfId="21" applyNumberFormat="1" applyFont="1" applyFill="1">
      <alignment/>
      <protection/>
    </xf>
    <xf numFmtId="0" fontId="9" fillId="0" borderId="0" xfId="21" applyFont="1" applyAlignment="1">
      <alignment/>
      <protection/>
    </xf>
    <xf numFmtId="0" fontId="10" fillId="0" borderId="0" xfId="21" applyFont="1" applyAlignment="1">
      <alignment/>
      <protection/>
    </xf>
    <xf numFmtId="0" fontId="10" fillId="2" borderId="0" xfId="21" applyFont="1" applyFill="1" applyAlignment="1">
      <alignment/>
      <protection/>
    </xf>
    <xf numFmtId="0" fontId="15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20" fillId="0" borderId="0" xfId="21" applyFont="1" applyAlignment="1">
      <alignment horizontal="left" vertical="center"/>
      <protection/>
    </xf>
    <xf numFmtId="172" fontId="20" fillId="0" borderId="0" xfId="15" applyNumberFormat="1" applyFont="1" applyFill="1" applyAlignment="1">
      <alignment horizontal="right"/>
    </xf>
    <xf numFmtId="172" fontId="20" fillId="0" borderId="0" xfId="15" applyNumberFormat="1" applyFont="1" applyFill="1" applyAlignment="1">
      <alignment/>
    </xf>
    <xf numFmtId="172" fontId="20" fillId="0" borderId="0" xfId="15" applyNumberFormat="1" applyFont="1" applyFill="1" applyBorder="1" applyAlignment="1">
      <alignment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Fill="1">
      <alignment/>
      <protection/>
    </xf>
    <xf numFmtId="43" fontId="20" fillId="0" borderId="0" xfId="15" applyFont="1" applyBorder="1" applyAlignment="1">
      <alignment/>
    </xf>
    <xf numFmtId="15" fontId="8" fillId="0" borderId="0" xfId="21" applyNumberFormat="1" applyFont="1" applyFill="1" applyAlignment="1" quotePrefix="1">
      <alignment horizontal="right"/>
      <protection/>
    </xf>
    <xf numFmtId="16" fontId="8" fillId="0" borderId="0" xfId="21" applyNumberFormat="1" applyFont="1" applyFill="1" applyAlignment="1">
      <alignment horizontal="right"/>
      <protection/>
    </xf>
    <xf numFmtId="0" fontId="10" fillId="0" borderId="0" xfId="21" applyFont="1" applyFill="1" applyBorder="1" applyAlignment="1">
      <alignment horizontal="right"/>
      <protection/>
    </xf>
    <xf numFmtId="0" fontId="10" fillId="0" borderId="0" xfId="21" applyFont="1" applyFill="1" applyBorder="1">
      <alignment/>
      <protection/>
    </xf>
    <xf numFmtId="0" fontId="8" fillId="0" borderId="0" xfId="21" applyFont="1" applyFill="1" applyBorder="1" applyAlignment="1">
      <alignment horizontal="right"/>
      <protection/>
    </xf>
    <xf numFmtId="0" fontId="13" fillId="0" borderId="0" xfId="21" applyFont="1" applyFill="1" applyBorder="1" applyAlignment="1">
      <alignment horizontal="right"/>
      <protection/>
    </xf>
    <xf numFmtId="172" fontId="8" fillId="0" borderId="0" xfId="15" applyNumberFormat="1" applyFont="1" applyFill="1" applyAlignment="1">
      <alignment horizontal="right"/>
    </xf>
    <xf numFmtId="172" fontId="8" fillId="0" borderId="0" xfId="15" applyNumberFormat="1" applyFont="1" applyFill="1" applyAlignment="1" quotePrefix="1">
      <alignment horizontal="right"/>
    </xf>
    <xf numFmtId="0" fontId="13" fillId="0" borderId="0" xfId="21" applyFont="1">
      <alignment/>
      <protection/>
    </xf>
    <xf numFmtId="2" fontId="10" fillId="0" borderId="0" xfId="15" applyNumberFormat="1" applyFont="1" applyFill="1" applyBorder="1" applyAlignment="1">
      <alignment horizontal="right"/>
    </xf>
    <xf numFmtId="1" fontId="10" fillId="0" borderId="0" xfId="15" applyNumberFormat="1" applyFont="1" applyFill="1" applyBorder="1" applyAlignment="1">
      <alignment horizontal="right"/>
    </xf>
    <xf numFmtId="1" fontId="10" fillId="0" borderId="0" xfId="15" applyNumberFormat="1" applyFont="1" applyFill="1" applyBorder="1" applyAlignment="1">
      <alignment horizontal="center"/>
    </xf>
    <xf numFmtId="1" fontId="10" fillId="0" borderId="0" xfId="15" applyNumberFormat="1" applyFont="1" applyFill="1" applyBorder="1" applyAlignment="1">
      <alignment/>
    </xf>
    <xf numFmtId="172" fontId="10" fillId="0" borderId="5" xfId="15" applyNumberFormat="1" applyFont="1" applyFill="1" applyBorder="1" applyAlignment="1">
      <alignment horizontal="right"/>
    </xf>
    <xf numFmtId="0" fontId="7" fillId="0" borderId="0" xfId="21" applyFont="1" applyFill="1" applyBorder="1">
      <alignment/>
      <protection/>
    </xf>
    <xf numFmtId="3" fontId="10" fillId="0" borderId="0" xfId="21" applyNumberFormat="1" applyFont="1" applyFill="1" applyBorder="1">
      <alignment/>
      <protection/>
    </xf>
    <xf numFmtId="172" fontId="13" fillId="0" borderId="0" xfId="15" applyNumberFormat="1" applyFont="1" applyFill="1" applyBorder="1" applyAlignment="1">
      <alignment horizontal="center"/>
    </xf>
    <xf numFmtId="0" fontId="10" fillId="0" borderId="0" xfId="21" applyFont="1" applyBorder="1" applyAlignment="1">
      <alignment/>
      <protection/>
    </xf>
    <xf numFmtId="0" fontId="18" fillId="0" borderId="0" xfId="21" applyFont="1" applyAlignment="1">
      <alignment horizontal="left" vertical="center" wrapText="1"/>
      <protection/>
    </xf>
    <xf numFmtId="43" fontId="10" fillId="0" borderId="0" xfId="15" applyFont="1" applyAlignment="1">
      <alignment/>
    </xf>
    <xf numFmtId="172" fontId="8" fillId="0" borderId="0" xfId="15" applyNumberFormat="1" applyFont="1" applyFill="1" applyAlignment="1">
      <alignment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/>
      <protection/>
    </xf>
    <xf numFmtId="172" fontId="8" fillId="0" borderId="6" xfId="15" applyNumberFormat="1" applyFont="1" applyFill="1" applyBorder="1" applyAlignment="1">
      <alignment horizontal="center"/>
    </xf>
    <xf numFmtId="172" fontId="10" fillId="0" borderId="7" xfId="15" applyNumberFormat="1" applyFont="1" applyFill="1" applyBorder="1" applyAlignment="1">
      <alignment horizontal="center"/>
    </xf>
    <xf numFmtId="172" fontId="9" fillId="0" borderId="2" xfId="15" applyNumberFormat="1" applyFont="1" applyFill="1" applyBorder="1" applyAlignment="1">
      <alignment horizontal="center"/>
    </xf>
    <xf numFmtId="172" fontId="12" fillId="0" borderId="3" xfId="15" applyNumberFormat="1" applyFont="1" applyFill="1" applyBorder="1" applyAlignment="1">
      <alignment/>
    </xf>
    <xf numFmtId="172" fontId="12" fillId="0" borderId="3" xfId="15" applyNumberFormat="1" applyFont="1" applyFill="1" applyBorder="1" applyAlignment="1">
      <alignment horizontal="center"/>
    </xf>
    <xf numFmtId="172" fontId="12" fillId="0" borderId="4" xfId="15" applyNumberFormat="1" applyFont="1" applyFill="1" applyBorder="1" applyAlignment="1">
      <alignment horizontal="center"/>
    </xf>
    <xf numFmtId="172" fontId="12" fillId="0" borderId="8" xfId="15" applyNumberFormat="1" applyFont="1" applyFill="1" applyBorder="1" applyAlignment="1">
      <alignment horizontal="center"/>
    </xf>
    <xf numFmtId="172" fontId="12" fillId="0" borderId="0" xfId="15" applyNumberFormat="1" applyFont="1" applyFill="1" applyBorder="1" applyAlignment="1">
      <alignment horizontal="center"/>
    </xf>
    <xf numFmtId="172" fontId="8" fillId="0" borderId="0" xfId="15" applyNumberFormat="1" applyFont="1" applyAlignment="1">
      <alignment horizontal="right"/>
    </xf>
    <xf numFmtId="172" fontId="10" fillId="0" borderId="1" xfId="15" applyNumberFormat="1" applyFont="1" applyFill="1" applyBorder="1" applyAlignment="1">
      <alignment/>
    </xf>
    <xf numFmtId="172" fontId="10" fillId="0" borderId="0" xfId="15" applyNumberFormat="1" applyFont="1" applyFill="1" applyBorder="1" applyAlignment="1" quotePrefix="1">
      <alignment/>
    </xf>
    <xf numFmtId="172" fontId="8" fillId="0" borderId="0" xfId="15" applyNumberFormat="1" applyFont="1" applyFill="1" applyBorder="1" applyAlignment="1">
      <alignment horizontal="right"/>
    </xf>
    <xf numFmtId="15" fontId="8" fillId="0" borderId="0" xfId="21" applyNumberFormat="1" applyFont="1" applyFill="1" applyBorder="1" applyAlignment="1" quotePrefix="1">
      <alignment horizontal="right"/>
      <protection/>
    </xf>
    <xf numFmtId="16" fontId="8" fillId="0" borderId="0" xfId="21" applyNumberFormat="1" applyFont="1" applyFill="1" applyBorder="1" applyAlignment="1">
      <alignment horizontal="right"/>
      <protection/>
    </xf>
    <xf numFmtId="1" fontId="10" fillId="0" borderId="0" xfId="21" applyNumberFormat="1" applyFont="1" applyFill="1" applyBorder="1" applyAlignment="1">
      <alignment horizontal="center"/>
      <protection/>
    </xf>
    <xf numFmtId="16" fontId="11" fillId="0" borderId="0" xfId="21" applyNumberFormat="1" applyFont="1" applyFill="1" applyBorder="1" applyAlignment="1">
      <alignment horizontal="center"/>
      <protection/>
    </xf>
    <xf numFmtId="0" fontId="20" fillId="0" borderId="0" xfId="21" applyFont="1" applyFill="1" applyBorder="1">
      <alignment/>
      <protection/>
    </xf>
    <xf numFmtId="172" fontId="7" fillId="0" borderId="0" xfId="21" applyNumberFormat="1" applyFont="1" applyFill="1" applyBorder="1">
      <alignment/>
      <protection/>
    </xf>
    <xf numFmtId="172" fontId="17" fillId="0" borderId="0" xfId="21" applyNumberFormat="1" applyFont="1" applyFill="1" applyBorder="1">
      <alignment/>
      <protection/>
    </xf>
    <xf numFmtId="172" fontId="8" fillId="0" borderId="9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vertical="top"/>
    </xf>
    <xf numFmtId="3" fontId="10" fillId="0" borderId="1" xfId="21" applyNumberFormat="1" applyFont="1" applyFill="1" applyBorder="1">
      <alignment/>
      <protection/>
    </xf>
    <xf numFmtId="3" fontId="10" fillId="0" borderId="7" xfId="21" applyNumberFormat="1" applyFont="1" applyFill="1" applyBorder="1">
      <alignment/>
      <protection/>
    </xf>
    <xf numFmtId="172" fontId="10" fillId="0" borderId="0" xfId="21" applyNumberFormat="1" applyFont="1" applyAlignment="1">
      <alignment/>
      <protection/>
    </xf>
    <xf numFmtId="172" fontId="10" fillId="0" borderId="1" xfId="15" applyNumberFormat="1" applyFont="1" applyFill="1" applyBorder="1" applyAlignment="1">
      <alignment horizontal="right"/>
    </xf>
    <xf numFmtId="172" fontId="8" fillId="0" borderId="1" xfId="15" applyNumberFormat="1" applyFont="1" applyFill="1" applyBorder="1" applyAlignment="1">
      <alignment/>
    </xf>
    <xf numFmtId="172" fontId="10" fillId="0" borderId="7" xfId="15" applyNumberFormat="1" applyFont="1" applyFill="1" applyBorder="1" applyAlignment="1">
      <alignment/>
    </xf>
    <xf numFmtId="172" fontId="8" fillId="0" borderId="0" xfId="15" applyNumberFormat="1" applyFont="1" applyAlignment="1">
      <alignment vertical="top"/>
    </xf>
    <xf numFmtId="172" fontId="18" fillId="0" borderId="0" xfId="15" applyNumberFormat="1" applyFont="1" applyFill="1" applyAlignment="1">
      <alignment horizontal="left" vertical="top"/>
    </xf>
    <xf numFmtId="172" fontId="18" fillId="0" borderId="0" xfId="15" applyNumberFormat="1" applyFont="1" applyFill="1" applyAlignment="1">
      <alignment/>
    </xf>
    <xf numFmtId="172" fontId="18" fillId="0" borderId="0" xfId="15" applyNumberFormat="1" applyFont="1" applyFill="1" applyAlignment="1">
      <alignment/>
    </xf>
    <xf numFmtId="172" fontId="13" fillId="0" borderId="0" xfId="15" applyNumberFormat="1" applyFont="1" applyFill="1" applyBorder="1" applyAlignment="1">
      <alignment/>
    </xf>
    <xf numFmtId="2" fontId="10" fillId="0" borderId="5" xfId="15" applyNumberFormat="1" applyFont="1" applyFill="1" applyBorder="1" applyAlignment="1">
      <alignment horizontal="right"/>
    </xf>
    <xf numFmtId="0" fontId="10" fillId="0" borderId="0" xfId="21" applyFont="1" applyFill="1" applyAlignment="1">
      <alignment wrapText="1"/>
      <protection/>
    </xf>
    <xf numFmtId="172" fontId="10" fillId="0" borderId="0" xfId="21" applyNumberFormat="1" applyFont="1" applyFill="1">
      <alignment/>
      <protection/>
    </xf>
    <xf numFmtId="2" fontId="10" fillId="0" borderId="5" xfId="15" applyNumberFormat="1" applyFont="1" applyFill="1" applyBorder="1" applyAlignment="1">
      <alignment horizontal="right" wrapText="1"/>
    </xf>
    <xf numFmtId="43" fontId="10" fillId="0" borderId="0" xfId="15" applyNumberFormat="1" applyFont="1" applyFill="1" applyBorder="1" applyAlignment="1">
      <alignment horizontal="right" wrapText="1"/>
    </xf>
    <xf numFmtId="172" fontId="10" fillId="0" borderId="0" xfId="15" applyNumberFormat="1" applyFont="1" applyFill="1" applyBorder="1" applyAlignment="1">
      <alignment horizontal="right" wrapText="1"/>
    </xf>
    <xf numFmtId="43" fontId="10" fillId="0" borderId="0" xfId="15" applyNumberFormat="1" applyFont="1" applyFill="1" applyBorder="1" applyAlignment="1">
      <alignment horizontal="justify" wrapText="1"/>
    </xf>
    <xf numFmtId="43" fontId="10" fillId="0" borderId="5" xfId="15" applyNumberFormat="1" applyFont="1" applyFill="1" applyBorder="1" applyAlignment="1">
      <alignment horizontal="right" wrapText="1"/>
    </xf>
    <xf numFmtId="0" fontId="17" fillId="0" borderId="0" xfId="21" applyFont="1" applyFill="1">
      <alignment/>
      <protection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172" fontId="6" fillId="0" borderId="0" xfId="15" applyNumberFormat="1" applyFont="1" applyFill="1" applyBorder="1" applyAlignment="1">
      <alignment horizontal="center"/>
    </xf>
    <xf numFmtId="172" fontId="8" fillId="0" borderId="0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 quotePrefix="1">
      <alignment horizontal="center"/>
    </xf>
    <xf numFmtId="0" fontId="18" fillId="0" borderId="0" xfId="21" applyFont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21" applyFont="1" applyFill="1" applyAlignment="1">
      <alignment horizontal="left" vertical="center" wrapText="1"/>
      <protection/>
    </xf>
    <xf numFmtId="0" fontId="10" fillId="0" borderId="0" xfId="21" applyFont="1" applyFill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SE Habib 2002 Q3(f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10</xdr:row>
      <xdr:rowOff>104775</xdr:rowOff>
    </xdr:from>
    <xdr:to>
      <xdr:col>11</xdr:col>
      <xdr:colOff>981075</xdr:colOff>
      <xdr:row>10</xdr:row>
      <xdr:rowOff>104775</xdr:rowOff>
    </xdr:to>
    <xdr:sp>
      <xdr:nvSpPr>
        <xdr:cNvPr id="1" name="Line 5"/>
        <xdr:cNvSpPr>
          <a:spLocks/>
        </xdr:cNvSpPr>
      </xdr:nvSpPr>
      <xdr:spPr>
        <a:xfrm>
          <a:off x="8782050" y="19335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85725</xdr:rowOff>
    </xdr:from>
    <xdr:to>
      <xdr:col>4</xdr:col>
      <xdr:colOff>1485900</xdr:colOff>
      <xdr:row>10</xdr:row>
      <xdr:rowOff>85725</xdr:rowOff>
    </xdr:to>
    <xdr:sp>
      <xdr:nvSpPr>
        <xdr:cNvPr id="2" name="Line 8"/>
        <xdr:cNvSpPr>
          <a:spLocks/>
        </xdr:cNvSpPr>
      </xdr:nvSpPr>
      <xdr:spPr>
        <a:xfrm flipH="1">
          <a:off x="4619625" y="19145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deline\My%20Documents\WORK%20RELATED\Scomi%20Marine%20Berhad\Management%20account\Cumulative%20and%20month%20(USD)\smb-USD(27%207%20200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deline\My%20Documents\WORK%20RELATED\Scomi%20Marine%20Berhad\Bursa%20announcement\dec%202005\FINAL-DEC%2005\working%20paper%20for%20quarterly%20result%20-%20dec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deline\My%20Documents\WORK%20RELATED\Scomi%20Marine%20Berhad\Management%20account\Year%202006\Dec%2006\SMB%20GROUP%20MgtRpt%20(Dec%20200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MB\Year%202006\Dec%2006\SMB%20GROUP%20MgtRpt%20(Dec%202006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deline\My%20Documents\WORK%20RELATED\Scomi%20Marine%20Berhad\Bursa%20announcement\Dec%202006\EPS\EPS%20computation%20Qtr%204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deline\My%20Documents\WORK%20RELATED\Scomi%20Marine%20Berhad\Bursa%20announcement\Dec%202006\Workings\4Q%202006%20(cash%20flo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W(USD&amp;RM) Q2"/>
      <sheetName val="SMB (USD&amp;RM)"/>
      <sheetName val="ML(USD&amp;RM)"/>
      <sheetName val="MC"/>
      <sheetName val="GS"/>
      <sheetName val="Q1 &amp; Q2 Total"/>
      <sheetName val="SMB (USD&amp;RM)(not used)"/>
      <sheetName val="JEW(USD&amp;RM)(not used)"/>
      <sheetName val="ML(USD&amp;RM)(not used)"/>
      <sheetName val="not in used"/>
      <sheetName val="not in use"/>
    </sheetNames>
    <sheetDataSet>
      <sheetData sheetId="5">
        <row r="59">
          <cell r="CC59">
            <v>441943.89543922094</v>
          </cell>
          <cell r="CL59">
            <v>114066.85800500002</v>
          </cell>
        </row>
        <row r="61">
          <cell r="CC61">
            <v>-254229.090613321</v>
          </cell>
          <cell r="CL61">
            <v>-60628.9302155</v>
          </cell>
        </row>
        <row r="62">
          <cell r="CC62">
            <v>-55375.370274600005</v>
          </cell>
          <cell r="CL62">
            <v>-14652.413026</v>
          </cell>
        </row>
        <row r="65">
          <cell r="CC65">
            <v>-593.0000099999982</v>
          </cell>
          <cell r="CL65">
            <v>24.999990000001937</v>
          </cell>
        </row>
        <row r="67">
          <cell r="CC67">
            <v>-35037.10737807098</v>
          </cell>
          <cell r="CL67">
            <v>-11011.8807353</v>
          </cell>
        </row>
        <row r="69">
          <cell r="CC69">
            <v>-680.5153380239999</v>
          </cell>
          <cell r="CL69">
            <v>-177.1350975</v>
          </cell>
        </row>
        <row r="72">
          <cell r="CC72">
            <v>354</v>
          </cell>
        </row>
        <row r="74">
          <cell r="CC74">
            <v>5477.747684151001</v>
          </cell>
          <cell r="CL74">
            <v>762.664205</v>
          </cell>
        </row>
        <row r="75">
          <cell r="CC75">
            <v>-44558.587333263706</v>
          </cell>
          <cell r="CL75">
            <v>-10477.973439868745</v>
          </cell>
        </row>
        <row r="76">
          <cell r="CC76">
            <v>31737.75353267001</v>
          </cell>
          <cell r="CL76">
            <v>6471.482430000002</v>
          </cell>
        </row>
        <row r="81">
          <cell r="CC81">
            <v>-7686.4620742556945</v>
          </cell>
          <cell r="CL81">
            <v>-2077.419467419557</v>
          </cell>
        </row>
        <row r="85">
          <cell r="CC85">
            <v>-2240.68581229795</v>
          </cell>
          <cell r="CL85">
            <v>-981.0948685521503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working after ML clearance)"/>
      <sheetName val="working(after habib audit)"/>
      <sheetName val="working(after habib audit&amp;PTRT)"/>
      <sheetName val="wp-bs items"/>
      <sheetName val="ytd"/>
      <sheetName val="YTD(after habib audit)"/>
      <sheetName val="YTD(after habib audit&amp; PTRT)"/>
      <sheetName val="working-CF"/>
      <sheetName val="working-cf(after habib's audit)"/>
      <sheetName val="working-cf(after hab&amp; PTRT)"/>
    </sheetNames>
    <sheetDataSet>
      <sheetData sheetId="3">
        <row r="11">
          <cell r="Q11">
            <v>92916</v>
          </cell>
        </row>
        <row r="13">
          <cell r="Q13">
            <v>-48684</v>
          </cell>
        </row>
        <row r="14">
          <cell r="Q14">
            <v>-11373</v>
          </cell>
        </row>
        <row r="17">
          <cell r="M17">
            <v>26</v>
          </cell>
        </row>
        <row r="18">
          <cell r="M18">
            <v>131</v>
          </cell>
          <cell r="O18">
            <v>-1288</v>
          </cell>
          <cell r="Q18">
            <v>-5124</v>
          </cell>
        </row>
        <row r="19">
          <cell r="Q19">
            <v>-118</v>
          </cell>
        </row>
        <row r="22">
          <cell r="O22">
            <v>423</v>
          </cell>
          <cell r="Q22">
            <v>548</v>
          </cell>
        </row>
        <row r="23">
          <cell r="Q23">
            <v>-10657</v>
          </cell>
        </row>
        <row r="24">
          <cell r="Q24">
            <v>5522</v>
          </cell>
        </row>
        <row r="29">
          <cell r="O29">
            <v>-336</v>
          </cell>
          <cell r="Q29">
            <v>-1680</v>
          </cell>
        </row>
        <row r="31">
          <cell r="K31">
            <v>556.2496889544254</v>
          </cell>
        </row>
        <row r="33">
          <cell r="Q33">
            <v>-543</v>
          </cell>
        </row>
      </sheetData>
      <sheetData sheetId="8">
        <row r="70">
          <cell r="I70">
            <v>0</v>
          </cell>
          <cell r="M70">
            <v>92916</v>
          </cell>
        </row>
        <row r="72">
          <cell r="M72">
            <v>-48684</v>
          </cell>
        </row>
        <row r="73">
          <cell r="M73">
            <v>-11373</v>
          </cell>
        </row>
        <row r="76">
          <cell r="I76">
            <v>2182</v>
          </cell>
          <cell r="M76">
            <v>68.7075305</v>
          </cell>
        </row>
        <row r="77">
          <cell r="I77">
            <v>-1673</v>
          </cell>
          <cell r="M77">
            <v>-3982.034</v>
          </cell>
        </row>
        <row r="79">
          <cell r="M79">
            <v>-1405.974</v>
          </cell>
        </row>
        <row r="86">
          <cell r="I86">
            <v>722</v>
          </cell>
          <cell r="M86">
            <v>548</v>
          </cell>
        </row>
        <row r="87">
          <cell r="M87">
            <v>-10657</v>
          </cell>
        </row>
        <row r="88">
          <cell r="M88">
            <v>5522</v>
          </cell>
        </row>
        <row r="93">
          <cell r="I93">
            <v>-336</v>
          </cell>
          <cell r="M93">
            <v>-1615.1050735</v>
          </cell>
        </row>
        <row r="95">
          <cell r="D95">
            <v>4606.906999999999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YTD - GpFinHighlightsUS"/>
      <sheetName val="YTD - GpFinHighlightsRM"/>
      <sheetName val="YTD - Ratios (USD)"/>
      <sheetName val="YTD - Ratios (RM)"/>
      <sheetName val="Definitions"/>
      <sheetName val="MthFlashUSD"/>
      <sheetName val="MthFlashRM"/>
      <sheetName val="YTDFlashUSD"/>
      <sheetName val="YTDFlashRM"/>
      <sheetName val="GP%"/>
      <sheetName val="DSO"/>
      <sheetName val=" Inventory"/>
      <sheetName val="mgt acc-SMB"/>
      <sheetName val="MthGpFinResults (USD &amp; RM)"/>
      <sheetName val="YTDGpFinResults (USD &amp; RM)"/>
      <sheetName val="Consol adjustments"/>
      <sheetName val="GpSalesGPPAT"/>
      <sheetName val="GroupCharts"/>
      <sheetName val="JewelleryCharts"/>
      <sheetName val="Marine LogisticsCharts"/>
      <sheetName val="TrendRev"/>
      <sheetName val="TrendPAT"/>
      <sheetName val="TrendPATAMI"/>
      <sheetName val="working-mgt report"/>
      <sheetName val="qtr &amp; YTD"/>
    </sheetNames>
    <sheetDataSet>
      <sheetData sheetId="14">
        <row r="250">
          <cell r="O250">
            <v>780918.3143079999</v>
          </cell>
        </row>
        <row r="252">
          <cell r="O252">
            <v>196973.18354630002</v>
          </cell>
        </row>
        <row r="253">
          <cell r="O253">
            <v>452241.7598899999</v>
          </cell>
        </row>
        <row r="254">
          <cell r="O254">
            <v>5.979819999999999</v>
          </cell>
        </row>
        <row r="255">
          <cell r="O255">
            <v>7.8224800000000005</v>
          </cell>
        </row>
        <row r="267">
          <cell r="O267">
            <v>148221.93498629998</v>
          </cell>
        </row>
        <row r="268">
          <cell r="O268">
            <v>90217.831404927</v>
          </cell>
        </row>
        <row r="271">
          <cell r="O271">
            <v>371.2834938</v>
          </cell>
        </row>
        <row r="275">
          <cell r="O275">
            <v>45932.51179</v>
          </cell>
        </row>
        <row r="276">
          <cell r="O276">
            <v>49813.256566699994</v>
          </cell>
        </row>
        <row r="281">
          <cell r="O281">
            <v>30751.0405782</v>
          </cell>
        </row>
        <row r="282">
          <cell r="O282">
            <v>30908.845308199023</v>
          </cell>
        </row>
        <row r="284">
          <cell r="O284">
            <v>1571.3638973999996</v>
          </cell>
        </row>
        <row r="285">
          <cell r="O285">
            <v>37069.07851145099</v>
          </cell>
        </row>
        <row r="287">
          <cell r="O287">
            <v>1755.2766000000001</v>
          </cell>
        </row>
        <row r="288">
          <cell r="O288">
            <v>177040.71834</v>
          </cell>
        </row>
        <row r="289">
          <cell r="O289">
            <v>4738.449746132999</v>
          </cell>
        </row>
        <row r="291">
          <cell r="O291">
            <v>56056.4</v>
          </cell>
        </row>
        <row r="292">
          <cell r="O292">
            <v>71.79352829999999</v>
          </cell>
        </row>
        <row r="294">
          <cell r="O294">
            <v>0</v>
          </cell>
        </row>
        <row r="304">
          <cell r="O304">
            <v>733008.7541559</v>
          </cell>
        </row>
        <row r="306">
          <cell r="O306">
            <v>121913.01113</v>
          </cell>
        </row>
        <row r="308">
          <cell r="O308">
            <v>1365.9992908</v>
          </cell>
        </row>
        <row r="310">
          <cell r="O310">
            <v>-55203.684386822235</v>
          </cell>
        </row>
        <row r="311">
          <cell r="O311">
            <v>102726.48776244828</v>
          </cell>
        </row>
        <row r="314">
          <cell r="O314">
            <v>52068.16966195894</v>
          </cell>
        </row>
        <row r="316">
          <cell r="O316">
            <v>466500.62564219994</v>
          </cell>
        </row>
        <row r="317">
          <cell r="O317">
            <v>250.18521999999996</v>
          </cell>
        </row>
        <row r="321">
          <cell r="O321">
            <v>0</v>
          </cell>
        </row>
        <row r="322">
          <cell r="O322">
            <v>2111.584578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YTD - GpFinHighlightsUS"/>
      <sheetName val="YTD - GpFinHighlightsRM"/>
      <sheetName val="YTD - Ratios (USD)"/>
      <sheetName val="YTD - Ratios (RM)"/>
      <sheetName val="Definitions"/>
      <sheetName val="MthFlashUSD"/>
      <sheetName val="MthFlashRM"/>
      <sheetName val="YTDFlashUSD"/>
      <sheetName val="YTDFlashRM"/>
      <sheetName val="GP%"/>
      <sheetName val="DSO"/>
      <sheetName val=" Inventory"/>
      <sheetName val="mgt acc-SMB"/>
      <sheetName val="MthGpFinResults (USD &amp; RM)"/>
      <sheetName val="YTDGpFinResults (USD &amp; RM)"/>
      <sheetName val="Consol adjustments"/>
      <sheetName val="GpSalesGPPAT"/>
      <sheetName val="GroupCharts"/>
      <sheetName val="JewelleryCharts"/>
      <sheetName val="Marine LogisticsCharts"/>
      <sheetName val="TrendRev"/>
      <sheetName val="TrendPAT"/>
      <sheetName val="TrendPATAMI"/>
      <sheetName val="working-mgt report"/>
      <sheetName val="qtr &amp; YTD"/>
    </sheetNames>
    <sheetDataSet>
      <sheetData sheetId="16">
        <row r="120">
          <cell r="I120">
            <v>886899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26">
          <cell r="D26">
            <v>0</v>
          </cell>
          <cell r="E26">
            <v>2.9083654400818353</v>
          </cell>
          <cell r="H26">
            <v>0.20638862136114342</v>
          </cell>
          <cell r="L26">
            <v>0.09461428628971046</v>
          </cell>
          <cell r="P26">
            <v>2.1807327637215685</v>
          </cell>
          <cell r="Q26">
            <v>8.987997660173724</v>
          </cell>
        </row>
        <row r="28">
          <cell r="D28">
            <v>0</v>
          </cell>
          <cell r="E28">
            <v>2.9083654400818353</v>
          </cell>
          <cell r="L28">
            <v>0.07650849935346676</v>
          </cell>
          <cell r="M28">
            <v>2.718271133894419</v>
          </cell>
          <cell r="P28">
            <v>1.8673747998621832</v>
          </cell>
          <cell r="Q28">
            <v>8.046693199164995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BS"/>
    </sheetNames>
    <sheetDataSet>
      <sheetData sheetId="1">
        <row r="15">
          <cell r="L15">
            <v>57518.885612624006</v>
          </cell>
        </row>
        <row r="47">
          <cell r="K47">
            <v>1366</v>
          </cell>
        </row>
        <row r="48">
          <cell r="AP48">
            <v>-14919</v>
          </cell>
        </row>
        <row r="52">
          <cell r="H52">
            <v>-3647.932514</v>
          </cell>
          <cell r="I52">
            <v>42.85346898399939</v>
          </cell>
          <cell r="AP52">
            <v>-2703.0399999999995</v>
          </cell>
        </row>
        <row r="61">
          <cell r="L61">
            <v>368.65</v>
          </cell>
        </row>
        <row r="75">
          <cell r="M75">
            <v>1085</v>
          </cell>
          <cell r="X75">
            <v>-54666.6992</v>
          </cell>
          <cell r="Z75">
            <v>15838.06143999999</v>
          </cell>
          <cell r="AA75">
            <v>-7973.098220011749</v>
          </cell>
          <cell r="AG75">
            <v>7176</v>
          </cell>
          <cell r="AJ75">
            <v>6255</v>
          </cell>
          <cell r="AK75">
            <v>338.198072</v>
          </cell>
          <cell r="AL75">
            <v>167320.4</v>
          </cell>
        </row>
        <row r="80">
          <cell r="AC80">
            <v>-82935.30181290001</v>
          </cell>
          <cell r="AM80">
            <v>-238979.2276</v>
          </cell>
        </row>
        <row r="85">
          <cell r="I85">
            <v>15796.75</v>
          </cell>
        </row>
        <row r="87">
          <cell r="I87">
            <v>15796.75</v>
          </cell>
          <cell r="P87">
            <v>27590.350000000002</v>
          </cell>
        </row>
        <row r="93">
          <cell r="R93">
            <v>-1821.3500000000022</v>
          </cell>
        </row>
        <row r="105">
          <cell r="J105">
            <v>-8874.051479700021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109"/>
  <sheetViews>
    <sheetView tabSelected="1" view="pageBreakPreview" zoomScale="60" zoomScaleNormal="75" workbookViewId="0" topLeftCell="A1">
      <selection activeCell="A1" sqref="A1"/>
    </sheetView>
  </sheetViews>
  <sheetFormatPr defaultColWidth="8.88671875" defaultRowHeight="15" customHeight="1"/>
  <cols>
    <col min="1" max="1" width="38.4453125" style="17" customWidth="1"/>
    <col min="2" max="2" width="6.4453125" style="17" customWidth="1"/>
    <col min="3" max="3" width="11.6640625" style="2" customWidth="1"/>
    <col min="4" max="4" width="11.77734375" style="2" customWidth="1"/>
    <col min="5" max="5" width="2.77734375" style="2" customWidth="1"/>
    <col min="6" max="6" width="11.77734375" style="2" customWidth="1"/>
    <col min="7" max="7" width="12.10546875" style="17" customWidth="1"/>
    <col min="8" max="8" width="5.10546875" style="70" customWidth="1"/>
    <col min="9" max="9" width="8.77734375" style="2" customWidth="1"/>
    <col min="10" max="10" width="1.66796875" style="2" customWidth="1"/>
    <col min="11" max="13" width="8.77734375" style="17" customWidth="1"/>
    <col min="14" max="14" width="11.3359375" style="2" customWidth="1"/>
    <col min="15" max="15" width="8.77734375" style="2" hidden="1" customWidth="1"/>
    <col min="16" max="16" width="8.77734375" style="2" customWidth="1"/>
    <col min="17" max="23" width="8.88671875" style="70" customWidth="1"/>
    <col min="24" max="24" width="0.10546875" style="70" customWidth="1"/>
    <col min="25" max="16384" width="8.88671875" style="70" customWidth="1"/>
  </cols>
  <sheetData>
    <row r="1" spans="1:8" ht="18.75" customHeight="1">
      <c r="A1" s="68" t="s">
        <v>176</v>
      </c>
      <c r="B1" s="68"/>
      <c r="C1" s="16"/>
      <c r="D1" s="16"/>
      <c r="E1" s="16"/>
      <c r="F1" s="16"/>
      <c r="G1" s="56"/>
      <c r="H1" s="69"/>
    </row>
    <row r="2" spans="1:8" ht="15" customHeight="1">
      <c r="A2" s="68" t="s">
        <v>4</v>
      </c>
      <c r="B2" s="68"/>
      <c r="C2" s="16"/>
      <c r="D2" s="16"/>
      <c r="E2" s="16"/>
      <c r="F2" s="16"/>
      <c r="G2" s="56"/>
      <c r="H2" s="69"/>
    </row>
    <row r="3" spans="1:8" ht="15" customHeight="1">
      <c r="A3" s="56"/>
      <c r="B3" s="56"/>
      <c r="C3" s="16"/>
      <c r="D3" s="16"/>
      <c r="E3" s="16"/>
      <c r="F3" s="16"/>
      <c r="G3" s="56"/>
      <c r="H3" s="69"/>
    </row>
    <row r="4" spans="1:16" s="73" customFormat="1" ht="15" customHeight="1">
      <c r="A4" s="68"/>
      <c r="B4" s="68"/>
      <c r="C4" s="10"/>
      <c r="D4" s="10"/>
      <c r="E4" s="10"/>
      <c r="F4" s="10"/>
      <c r="G4" s="10"/>
      <c r="H4" s="71"/>
      <c r="I4" s="72"/>
      <c r="J4" s="72"/>
      <c r="K4" s="2"/>
      <c r="L4" s="2"/>
      <c r="M4" s="2"/>
      <c r="N4" s="2"/>
      <c r="O4" s="2"/>
      <c r="P4" s="2"/>
    </row>
    <row r="5" spans="1:16" s="73" customFormat="1" ht="15" customHeight="1">
      <c r="A5" s="68"/>
      <c r="B5" s="68"/>
      <c r="C5" s="10"/>
      <c r="D5" s="10"/>
      <c r="E5" s="10"/>
      <c r="F5" s="10"/>
      <c r="G5" s="10"/>
      <c r="H5" s="71"/>
      <c r="I5" s="72"/>
      <c r="J5" s="72"/>
      <c r="K5" s="2"/>
      <c r="L5" s="2"/>
      <c r="M5" s="2"/>
      <c r="N5" s="2"/>
      <c r="O5" s="2"/>
      <c r="P5" s="2"/>
    </row>
    <row r="6" spans="1:16" s="73" customFormat="1" ht="12.75" customHeight="1">
      <c r="A6" s="68"/>
      <c r="B6" s="68"/>
      <c r="C6" s="10"/>
      <c r="D6" s="10"/>
      <c r="E6" s="10"/>
      <c r="F6" s="10"/>
      <c r="G6" s="10"/>
      <c r="H6" s="71"/>
      <c r="I6" s="72"/>
      <c r="J6" s="72"/>
      <c r="K6" s="2"/>
      <c r="L6" s="2"/>
      <c r="M6" s="2"/>
      <c r="N6" s="2"/>
      <c r="O6" s="2"/>
      <c r="P6" s="2"/>
    </row>
    <row r="7" spans="1:16" s="73" customFormat="1" ht="15" customHeight="1">
      <c r="A7" s="68" t="s">
        <v>153</v>
      </c>
      <c r="B7" s="68"/>
      <c r="C7" s="10"/>
      <c r="D7" s="10"/>
      <c r="E7" s="10"/>
      <c r="F7" s="10"/>
      <c r="G7" s="10"/>
      <c r="H7" s="71"/>
      <c r="I7" s="72"/>
      <c r="J7" s="72"/>
      <c r="K7" s="2"/>
      <c r="L7" s="2"/>
      <c r="M7" s="2"/>
      <c r="N7" s="2"/>
      <c r="O7" s="2"/>
      <c r="P7" s="2"/>
    </row>
    <row r="8" spans="1:16" s="73" customFormat="1" ht="15" customHeight="1">
      <c r="A8" s="68" t="s">
        <v>152</v>
      </c>
      <c r="B8" s="68"/>
      <c r="C8" s="10"/>
      <c r="D8" s="10"/>
      <c r="E8" s="10"/>
      <c r="F8" s="10"/>
      <c r="G8" s="10"/>
      <c r="H8" s="71"/>
      <c r="I8" s="72"/>
      <c r="J8" s="72"/>
      <c r="K8" s="2"/>
      <c r="L8" s="2"/>
      <c r="M8" s="2"/>
      <c r="N8" s="2"/>
      <c r="O8" s="2"/>
      <c r="P8" s="2"/>
    </row>
    <row r="9" spans="1:16" s="78" customFormat="1" ht="15" customHeight="1">
      <c r="A9" s="74"/>
      <c r="B9" s="74"/>
      <c r="C9" s="167" t="s">
        <v>96</v>
      </c>
      <c r="D9" s="167"/>
      <c r="E9" s="5"/>
      <c r="F9" s="167" t="s">
        <v>97</v>
      </c>
      <c r="G9" s="167"/>
      <c r="H9" s="75"/>
      <c r="I9" s="76"/>
      <c r="J9" s="76"/>
      <c r="K9" s="77"/>
      <c r="L9" s="77"/>
      <c r="M9" s="77"/>
      <c r="N9" s="166"/>
      <c r="O9" s="166"/>
      <c r="P9" s="76"/>
    </row>
    <row r="10" spans="1:16" s="75" customFormat="1" ht="15" customHeight="1">
      <c r="A10" s="74"/>
      <c r="B10" s="74"/>
      <c r="C10" s="167" t="s">
        <v>31</v>
      </c>
      <c r="D10" s="167"/>
      <c r="E10" s="5"/>
      <c r="F10" s="167" t="s">
        <v>154</v>
      </c>
      <c r="G10" s="167"/>
      <c r="I10" s="5"/>
      <c r="J10" s="5"/>
      <c r="K10" s="79"/>
      <c r="L10" s="79"/>
      <c r="M10" s="79"/>
      <c r="N10" s="5"/>
      <c r="O10" s="5"/>
      <c r="P10" s="5"/>
    </row>
    <row r="11" spans="1:16" s="75" customFormat="1" ht="15" customHeight="1">
      <c r="A11" s="74"/>
      <c r="B11" s="74"/>
      <c r="C11" s="168">
        <v>39447</v>
      </c>
      <c r="D11" s="168"/>
      <c r="E11" s="6"/>
      <c r="F11" s="168">
        <f>C11</f>
        <v>39447</v>
      </c>
      <c r="G11" s="168"/>
      <c r="I11" s="5"/>
      <c r="J11" s="5"/>
      <c r="K11" s="5"/>
      <c r="L11" s="5"/>
      <c r="M11" s="5"/>
      <c r="N11" s="5"/>
      <c r="O11" s="5"/>
      <c r="P11" s="5"/>
    </row>
    <row r="12" spans="1:16" s="75" customFormat="1" ht="15" customHeight="1">
      <c r="A12" s="80"/>
      <c r="B12" s="80"/>
      <c r="C12" s="7">
        <v>2006</v>
      </c>
      <c r="D12" s="7">
        <v>2005</v>
      </c>
      <c r="E12" s="6"/>
      <c r="F12" s="6">
        <f>C12</f>
        <v>2006</v>
      </c>
      <c r="G12" s="6">
        <f>D12</f>
        <v>2005</v>
      </c>
      <c r="I12" s="5"/>
      <c r="J12" s="5"/>
      <c r="K12" s="5"/>
      <c r="L12" s="5"/>
      <c r="M12" s="5"/>
      <c r="N12" s="81"/>
      <c r="O12" s="81"/>
      <c r="P12" s="81"/>
    </row>
    <row r="13" spans="1:16" s="82" customFormat="1" ht="18.75" customHeight="1">
      <c r="A13" s="74"/>
      <c r="B13" s="74"/>
      <c r="C13" s="5" t="s">
        <v>1</v>
      </c>
      <c r="D13" s="5" t="s">
        <v>1</v>
      </c>
      <c r="E13" s="5"/>
      <c r="F13" s="5" t="s">
        <v>1</v>
      </c>
      <c r="G13" s="5" t="s">
        <v>1</v>
      </c>
      <c r="I13" s="8"/>
      <c r="J13" s="8"/>
      <c r="K13" s="8"/>
      <c r="L13" s="8"/>
      <c r="M13" s="8"/>
      <c r="N13" s="8"/>
      <c r="O13" s="8"/>
      <c r="P13" s="8"/>
    </row>
    <row r="14" spans="1:16" s="82" customFormat="1" ht="15" customHeight="1">
      <c r="A14" s="143" t="s">
        <v>120</v>
      </c>
      <c r="B14" s="143"/>
      <c r="C14" s="8"/>
      <c r="D14" s="8"/>
      <c r="E14" s="8"/>
      <c r="F14" s="8"/>
      <c r="G14" s="8"/>
      <c r="I14" s="8"/>
      <c r="J14" s="8"/>
      <c r="K14" s="8"/>
      <c r="L14" s="8"/>
      <c r="M14" s="8"/>
      <c r="N14" s="8"/>
      <c r="O14" s="8"/>
      <c r="P14" s="8"/>
    </row>
    <row r="15" spans="1:16" s="82" customFormat="1" ht="15" customHeight="1">
      <c r="A15" s="74"/>
      <c r="B15" s="74"/>
      <c r="C15" s="8"/>
      <c r="D15" s="8"/>
      <c r="E15" s="8"/>
      <c r="F15" s="8"/>
      <c r="G15" s="8"/>
      <c r="I15" s="8"/>
      <c r="J15" s="8"/>
      <c r="K15" s="8"/>
      <c r="L15" s="8"/>
      <c r="M15" s="8"/>
      <c r="N15" s="8"/>
      <c r="O15" s="8"/>
      <c r="P15" s="8"/>
    </row>
    <row r="16" spans="1:16" s="75" customFormat="1" ht="15" customHeight="1">
      <c r="A16" s="74" t="s">
        <v>2</v>
      </c>
      <c r="B16" s="74"/>
      <c r="C16" s="9">
        <f>+'[1]Q1 &amp; Q2 Total'!$CL$59</f>
        <v>114066.85800500002</v>
      </c>
      <c r="D16" s="5">
        <f>+'[2]working(after habib audit)'!$Q$11</f>
        <v>92916</v>
      </c>
      <c r="E16" s="5"/>
      <c r="F16" s="9">
        <f>+ROUNDUP('[1]Q1 &amp; Q2 Total'!$CC$59,0)</f>
        <v>441944</v>
      </c>
      <c r="G16" s="5">
        <f>+'[2]YTD(after habib audit&amp; PTRT)'!$M$70+'[2]YTD(after habib audit&amp; PTRT)'!$I$70</f>
        <v>92916</v>
      </c>
      <c r="I16" s="74"/>
      <c r="J16" s="74"/>
      <c r="K16" s="74"/>
      <c r="L16" s="74"/>
      <c r="M16" s="74"/>
      <c r="N16" s="74"/>
      <c r="O16" s="74"/>
      <c r="P16" s="74"/>
    </row>
    <row r="17" spans="1:16" s="75" customFormat="1" ht="15" customHeight="1">
      <c r="A17" s="74"/>
      <c r="B17" s="74"/>
      <c r="C17" s="5"/>
      <c r="D17" s="5"/>
      <c r="E17" s="5"/>
      <c r="F17" s="5"/>
      <c r="G17" s="5"/>
      <c r="I17" s="74"/>
      <c r="J17" s="74"/>
      <c r="K17" s="74"/>
      <c r="L17" s="74"/>
      <c r="M17" s="74"/>
      <c r="N17" s="74"/>
      <c r="O17" s="74"/>
      <c r="P17" s="74"/>
    </row>
    <row r="18" spans="1:16" s="71" customFormat="1" ht="15" customHeight="1">
      <c r="A18" s="16" t="s">
        <v>72</v>
      </c>
      <c r="B18" s="16"/>
      <c r="C18" s="11">
        <f>+'[1]Q1 &amp; Q2 Total'!$CL$61+'[1]Q1 &amp; Q2 Total'!$CL$62</f>
        <v>-75281.3432415</v>
      </c>
      <c r="D18" s="147">
        <f>+'[2]working(after habib audit)'!$Q$13+'[2]working(after habib audit)'!$Q$14</f>
        <v>-60057</v>
      </c>
      <c r="E18" s="10"/>
      <c r="F18" s="11">
        <f>+'[1]Q1 &amp; Q2 Total'!$CC$61+'[1]Q1 &amp; Q2 Total'!$CC$62</f>
        <v>-309604.460887921</v>
      </c>
      <c r="G18" s="147">
        <f>+'[2]YTD(after habib audit&amp; PTRT)'!$M$72+'[2]YTD(after habib audit&amp; PTRT)'!$M$73+1</f>
        <v>-60056</v>
      </c>
      <c r="I18" s="51"/>
      <c r="J18" s="74"/>
      <c r="K18" s="16"/>
      <c r="L18" s="16"/>
      <c r="M18" s="16"/>
      <c r="N18" s="16"/>
      <c r="O18" s="16"/>
      <c r="P18" s="16"/>
    </row>
    <row r="19" spans="1:16" s="71" customFormat="1" ht="15" customHeight="1">
      <c r="A19" s="16"/>
      <c r="B19" s="16"/>
      <c r="C19" s="10"/>
      <c r="D19" s="51"/>
      <c r="E19" s="10"/>
      <c r="F19" s="10"/>
      <c r="G19" s="51"/>
      <c r="I19" s="16"/>
      <c r="J19" s="74"/>
      <c r="K19" s="16"/>
      <c r="L19" s="16"/>
      <c r="M19" s="16"/>
      <c r="N19" s="16"/>
      <c r="O19" s="16"/>
      <c r="P19" s="16"/>
    </row>
    <row r="20" spans="1:16" s="71" customFormat="1" ht="15" customHeight="1">
      <c r="A20" s="74" t="s">
        <v>78</v>
      </c>
      <c r="B20" s="74"/>
      <c r="C20" s="10">
        <f>SUM(C16:C18)</f>
        <v>38785.51476350002</v>
      </c>
      <c r="D20" s="51">
        <f>SUM(D16:D18)</f>
        <v>32859</v>
      </c>
      <c r="E20" s="10"/>
      <c r="F20" s="10">
        <f>SUM(F16:F18)</f>
        <v>132339.53911207902</v>
      </c>
      <c r="G20" s="51">
        <f>SUM(G16:G18)</f>
        <v>32860</v>
      </c>
      <c r="I20" s="51"/>
      <c r="J20" s="74"/>
      <c r="K20" s="51"/>
      <c r="L20" s="51"/>
      <c r="M20" s="51"/>
      <c r="N20" s="51"/>
      <c r="O20" s="51"/>
      <c r="P20" s="51"/>
    </row>
    <row r="21" spans="1:16" s="71" customFormat="1" ht="15" customHeight="1">
      <c r="A21" s="74"/>
      <c r="B21" s="74"/>
      <c r="C21" s="10"/>
      <c r="D21" s="51"/>
      <c r="E21" s="10"/>
      <c r="F21" s="10"/>
      <c r="G21" s="51"/>
      <c r="I21" s="51"/>
      <c r="J21" s="74"/>
      <c r="K21" s="51"/>
      <c r="L21" s="51"/>
      <c r="M21" s="51"/>
      <c r="N21" s="51"/>
      <c r="O21" s="51"/>
      <c r="P21" s="51"/>
    </row>
    <row r="22" spans="1:16" s="71" customFormat="1" ht="15" customHeight="1">
      <c r="A22" s="16" t="s">
        <v>73</v>
      </c>
      <c r="B22" s="16"/>
      <c r="C22" s="10">
        <f>+ROUNDDOWN('[1]Q1 &amp; Q2 Total'!$CL$67+'[1]Q1 &amp; Q2 Total'!$CL$69,0)</f>
        <v>-11189</v>
      </c>
      <c r="D22" s="51">
        <f>+'[2]working(after habib audit)'!$Q$18+'[2]working(after habib audit)'!$O$18+'[2]working(after habib audit)'!$M$18+'[2]working(after habib audit)'!$Q$19</f>
        <v>-6399</v>
      </c>
      <c r="E22" s="10"/>
      <c r="F22" s="10">
        <f>+'[1]Q1 &amp; Q2 Total'!$CC$67+'[1]Q1 &amp; Q2 Total'!$CC$69+'[1]Q1 &amp; Q2 Total'!$CC$72</f>
        <v>-35363.62271609498</v>
      </c>
      <c r="G22" s="51">
        <f>ROUNDDOWN(+'[2]YTD(after habib audit&amp; PTRT)'!$M$77+'[2]YTD(after habib audit&amp; PTRT)'!$M$79+'[2]YTD(after habib audit&amp; PTRT)'!$I$77+12,0)</f>
        <v>-7049</v>
      </c>
      <c r="I22" s="51"/>
      <c r="J22" s="74"/>
      <c r="K22" s="51"/>
      <c r="L22" s="51"/>
      <c r="M22" s="51"/>
      <c r="N22" s="51"/>
      <c r="O22" s="51"/>
      <c r="P22" s="51"/>
    </row>
    <row r="23" spans="1:16" s="71" customFormat="1" ht="15" customHeight="1">
      <c r="A23" s="16"/>
      <c r="B23" s="16"/>
      <c r="C23" s="10"/>
      <c r="D23" s="51"/>
      <c r="E23" s="10"/>
      <c r="F23" s="10"/>
      <c r="G23" s="51"/>
      <c r="I23" s="51"/>
      <c r="J23" s="74"/>
      <c r="K23" s="51"/>
      <c r="L23" s="51"/>
      <c r="M23" s="51"/>
      <c r="N23" s="51"/>
      <c r="O23" s="51"/>
      <c r="P23" s="51"/>
    </row>
    <row r="24" spans="1:16" s="71" customFormat="1" ht="15" customHeight="1">
      <c r="A24" s="16" t="s">
        <v>3</v>
      </c>
      <c r="B24" s="16"/>
      <c r="C24" s="10">
        <f>+'[1]Q1 &amp; Q2 Total'!$CL$65</f>
        <v>24.999990000001937</v>
      </c>
      <c r="D24" s="51">
        <f>+'[2]working(after habib audit)'!$M$17</f>
        <v>26</v>
      </c>
      <c r="E24" s="10"/>
      <c r="F24" s="10">
        <f>+'[1]Q1 &amp; Q2 Total'!$CC$65</f>
        <v>-593.0000099999982</v>
      </c>
      <c r="G24" s="51">
        <f>ROUNDUP(+'[2]YTD(after habib audit&amp; PTRT)'!$I$76+'[2]YTD(after habib audit&amp; PTRT)'!$M$76-1850,0)</f>
        <v>401</v>
      </c>
      <c r="I24" s="51"/>
      <c r="J24" s="74"/>
      <c r="K24" s="51"/>
      <c r="L24" s="51"/>
      <c r="M24" s="51"/>
      <c r="N24" s="51"/>
      <c r="O24" s="51"/>
      <c r="P24" s="51"/>
    </row>
    <row r="25" spans="1:16" s="71" customFormat="1" ht="15" customHeight="1">
      <c r="A25" s="74"/>
      <c r="B25" s="74"/>
      <c r="C25" s="11"/>
      <c r="D25" s="147"/>
      <c r="E25" s="10"/>
      <c r="F25" s="11"/>
      <c r="G25" s="147"/>
      <c r="I25" s="51"/>
      <c r="J25" s="74"/>
      <c r="K25" s="51"/>
      <c r="L25" s="51"/>
      <c r="M25" s="51"/>
      <c r="N25" s="51"/>
      <c r="O25" s="51"/>
      <c r="P25" s="51"/>
    </row>
    <row r="26" spans="1:16" s="71" customFormat="1" ht="15" customHeight="1">
      <c r="A26" s="74" t="s">
        <v>121</v>
      </c>
      <c r="B26" s="74"/>
      <c r="C26" s="10">
        <f>SUM(C20:C24)</f>
        <v>27621.514753500018</v>
      </c>
      <c r="D26" s="10">
        <f>SUM(D20:D24)</f>
        <v>26486</v>
      </c>
      <c r="E26" s="10"/>
      <c r="F26" s="10">
        <f>SUM(F20:F24)</f>
        <v>96382.91638598403</v>
      </c>
      <c r="G26" s="10">
        <f>SUM(G20:G24)</f>
        <v>26212</v>
      </c>
      <c r="I26" s="51"/>
      <c r="J26" s="74"/>
      <c r="K26" s="51"/>
      <c r="L26" s="51"/>
      <c r="M26" s="51"/>
      <c r="N26" s="51"/>
      <c r="O26" s="51"/>
      <c r="P26" s="51"/>
    </row>
    <row r="27" spans="1:16" s="71" customFormat="1" ht="15" customHeight="1">
      <c r="A27" s="74"/>
      <c r="B27" s="74"/>
      <c r="C27" s="10"/>
      <c r="D27" s="51"/>
      <c r="E27" s="10"/>
      <c r="F27" s="10"/>
      <c r="G27" s="51"/>
      <c r="I27" s="51"/>
      <c r="J27" s="74"/>
      <c r="K27" s="51"/>
      <c r="L27" s="51"/>
      <c r="M27" s="51"/>
      <c r="N27" s="51"/>
      <c r="O27" s="51"/>
      <c r="P27" s="51"/>
    </row>
    <row r="28" spans="1:16" s="71" customFormat="1" ht="15" customHeight="1">
      <c r="A28" s="16" t="s">
        <v>32</v>
      </c>
      <c r="B28" s="16"/>
      <c r="C28" s="10">
        <f>+'[1]Q1 &amp; Q2 Total'!$CL$75</f>
        <v>-10477.973439868745</v>
      </c>
      <c r="D28" s="51">
        <f>+'[2]working(after habib audit)'!$Q$23</f>
        <v>-10657</v>
      </c>
      <c r="E28" s="10"/>
      <c r="F28" s="10">
        <f>+'[1]Q1 &amp; Q2 Total'!$CC$75</f>
        <v>-44558.587333263706</v>
      </c>
      <c r="G28" s="51">
        <f>+'[2]YTD(after habib audit&amp; PTRT)'!$M$87</f>
        <v>-10657</v>
      </c>
      <c r="I28" s="51"/>
      <c r="J28" s="74"/>
      <c r="K28" s="51"/>
      <c r="L28" s="51"/>
      <c r="M28" s="51"/>
      <c r="N28" s="51"/>
      <c r="O28" s="51"/>
      <c r="P28" s="51"/>
    </row>
    <row r="29" spans="1:16" s="71" customFormat="1" ht="15" customHeight="1">
      <c r="A29" s="74"/>
      <c r="B29" s="74"/>
      <c r="C29" s="10"/>
      <c r="D29" s="51"/>
      <c r="E29" s="10"/>
      <c r="F29" s="10"/>
      <c r="G29" s="51"/>
      <c r="I29" s="51"/>
      <c r="J29" s="74"/>
      <c r="K29" s="51"/>
      <c r="L29" s="51"/>
      <c r="M29" s="51"/>
      <c r="N29" s="51"/>
      <c r="O29" s="51"/>
      <c r="P29" s="51"/>
    </row>
    <row r="30" spans="1:16" s="71" customFormat="1" ht="15" customHeight="1">
      <c r="A30" s="16" t="s">
        <v>33</v>
      </c>
      <c r="B30" s="16"/>
      <c r="C30" s="16">
        <f>+'[1]Q1 &amp; Q2 Total'!$CL$74</f>
        <v>762.664205</v>
      </c>
      <c r="D30" s="10">
        <f>+'[2]working(after habib audit)'!$Q$22+'[2]working(after habib audit)'!$O$22</f>
        <v>971</v>
      </c>
      <c r="E30" s="10"/>
      <c r="F30" s="16">
        <f>+'[1]Q1 &amp; Q2 Total'!$CC$74</f>
        <v>5477.747684151001</v>
      </c>
      <c r="G30" s="51">
        <f>+'[2]YTD(after habib audit&amp; PTRT)'!$M$86+'[2]YTD(after habib audit&amp; PTRT)'!$I$86</f>
        <v>1270</v>
      </c>
      <c r="I30" s="51"/>
      <c r="J30" s="74"/>
      <c r="K30" s="16"/>
      <c r="L30" s="16"/>
      <c r="M30" s="16"/>
      <c r="N30" s="16"/>
      <c r="O30" s="16"/>
      <c r="P30" s="16"/>
    </row>
    <row r="31" spans="1:16" s="71" customFormat="1" ht="15" customHeight="1">
      <c r="A31" s="16"/>
      <c r="B31" s="16"/>
      <c r="C31" s="10"/>
      <c r="D31" s="10"/>
      <c r="E31" s="10"/>
      <c r="F31" s="10"/>
      <c r="G31" s="10"/>
      <c r="I31" s="51"/>
      <c r="J31" s="74"/>
      <c r="K31" s="16"/>
      <c r="L31" s="16"/>
      <c r="M31" s="16"/>
      <c r="N31" s="16"/>
      <c r="O31" s="16"/>
      <c r="P31" s="16"/>
    </row>
    <row r="32" spans="1:16" s="71" customFormat="1" ht="15" customHeight="1">
      <c r="A32" s="16" t="s">
        <v>93</v>
      </c>
      <c r="B32" s="16"/>
      <c r="I32" s="51"/>
      <c r="J32" s="74"/>
      <c r="K32" s="16"/>
      <c r="L32" s="16"/>
      <c r="M32" s="16"/>
      <c r="N32" s="16"/>
      <c r="O32" s="16"/>
      <c r="P32" s="16"/>
    </row>
    <row r="33" spans="1:16" s="71" customFormat="1" ht="15" customHeight="1">
      <c r="A33" s="16" t="s">
        <v>94</v>
      </c>
      <c r="B33" s="16"/>
      <c r="C33" s="10">
        <f>+'[1]Q1 &amp; Q2 Total'!$CL$76</f>
        <v>6471.482430000002</v>
      </c>
      <c r="D33" s="10">
        <f>+'[2]working(after habib audit)'!$Q$24</f>
        <v>5522</v>
      </c>
      <c r="E33" s="10"/>
      <c r="F33" s="10">
        <f>+'[1]Q1 &amp; Q2 Total'!$CC$76</f>
        <v>31737.75353267001</v>
      </c>
      <c r="G33" s="51">
        <f>+'[2]YTD(after habib audit&amp; PTRT)'!$M$88</f>
        <v>5522</v>
      </c>
      <c r="I33" s="51"/>
      <c r="J33" s="74"/>
      <c r="K33" s="16"/>
      <c r="L33" s="16"/>
      <c r="M33" s="16"/>
      <c r="N33" s="16"/>
      <c r="O33" s="16"/>
      <c r="P33" s="16"/>
    </row>
    <row r="34" spans="1:16" s="71" customFormat="1" ht="15" customHeight="1">
      <c r="A34" s="16"/>
      <c r="B34" s="16"/>
      <c r="C34" s="11"/>
      <c r="D34" s="11"/>
      <c r="E34" s="10"/>
      <c r="F34" s="11"/>
      <c r="G34" s="11"/>
      <c r="I34" s="51"/>
      <c r="J34" s="74"/>
      <c r="K34" s="16"/>
      <c r="L34" s="16"/>
      <c r="M34" s="16"/>
      <c r="N34" s="16"/>
      <c r="O34" s="16"/>
      <c r="P34" s="16"/>
    </row>
    <row r="35" spans="1:16" s="71" customFormat="1" ht="15" customHeight="1">
      <c r="A35" s="16"/>
      <c r="B35" s="16"/>
      <c r="C35" s="10"/>
      <c r="D35" s="51"/>
      <c r="E35" s="10"/>
      <c r="F35" s="10"/>
      <c r="G35" s="51"/>
      <c r="I35" s="51"/>
      <c r="J35" s="74"/>
      <c r="K35" s="51"/>
      <c r="L35" s="51"/>
      <c r="M35" s="51"/>
      <c r="N35" s="51"/>
      <c r="O35" s="51"/>
      <c r="P35" s="51"/>
    </row>
    <row r="36" spans="1:16" s="71" customFormat="1" ht="15" customHeight="1">
      <c r="A36" s="74" t="s">
        <v>172</v>
      </c>
      <c r="B36" s="74"/>
      <c r="C36" s="5">
        <f>SUM(C26:C34)</f>
        <v>24377.687948631276</v>
      </c>
      <c r="D36" s="5">
        <f>SUM(D26:D34)</f>
        <v>22322</v>
      </c>
      <c r="E36" s="5"/>
      <c r="F36" s="5">
        <f>SUM(F26:F34)</f>
        <v>89039.83026954133</v>
      </c>
      <c r="G36" s="5">
        <f>SUM(G26:G34)</f>
        <v>22347</v>
      </c>
      <c r="I36" s="74"/>
      <c r="J36" s="74"/>
      <c r="K36" s="74"/>
      <c r="L36" s="74"/>
      <c r="M36" s="74"/>
      <c r="N36" s="74"/>
      <c r="O36" s="74"/>
      <c r="P36" s="74"/>
    </row>
    <row r="37" spans="1:16" s="71" customFormat="1" ht="15" customHeight="1">
      <c r="A37" s="74"/>
      <c r="B37" s="74"/>
      <c r="C37" s="5"/>
      <c r="D37" s="74"/>
      <c r="E37" s="5"/>
      <c r="F37" s="5"/>
      <c r="G37" s="74"/>
      <c r="I37" s="74"/>
      <c r="J37" s="74"/>
      <c r="K37" s="74"/>
      <c r="L37" s="74"/>
      <c r="M37" s="74"/>
      <c r="N37" s="74"/>
      <c r="O37" s="74"/>
      <c r="P37" s="74"/>
    </row>
    <row r="38" spans="1:16" s="71" customFormat="1" ht="15" customHeight="1">
      <c r="A38" s="16" t="s">
        <v>20</v>
      </c>
      <c r="B38" s="16"/>
      <c r="C38" s="11">
        <f>+ROUNDUP('[1]Q1 &amp; Q2 Total'!$CL$81,0)</f>
        <v>-2078</v>
      </c>
      <c r="D38" s="11">
        <f>+'[2]working(after habib audit)'!$Q$29+'[2]working(after habib audit)'!$O$29</f>
        <v>-2016</v>
      </c>
      <c r="E38" s="10"/>
      <c r="F38" s="11">
        <f>+ROUNDUP('[1]Q1 &amp; Q2 Total'!$CC$81,0)</f>
        <v>-7687</v>
      </c>
      <c r="G38" s="11">
        <f>ROUNDDOWN(+'[2]YTD(after habib audit&amp; PTRT)'!$M$93+'[2]YTD(after habib audit&amp; PTRT)'!$I$93,0)</f>
        <v>-1951</v>
      </c>
      <c r="I38" s="51"/>
      <c r="J38" s="74"/>
      <c r="K38" s="16"/>
      <c r="L38" s="16"/>
      <c r="M38" s="16"/>
      <c r="N38" s="16"/>
      <c r="O38" s="16"/>
      <c r="P38" s="16"/>
    </row>
    <row r="39" spans="1:16" s="71" customFormat="1" ht="15" customHeight="1">
      <c r="A39" s="74" t="s">
        <v>173</v>
      </c>
      <c r="B39" s="74"/>
      <c r="I39" s="74"/>
      <c r="J39" s="74"/>
      <c r="K39" s="74"/>
      <c r="L39" s="74"/>
      <c r="M39" s="74"/>
      <c r="N39" s="74"/>
      <c r="O39" s="74"/>
      <c r="P39" s="74"/>
    </row>
    <row r="40" spans="1:16" s="71" customFormat="1" ht="15" customHeight="1">
      <c r="A40" s="74" t="s">
        <v>117</v>
      </c>
      <c r="B40" s="74"/>
      <c r="C40" s="5">
        <f>C36+C38</f>
        <v>22299.687948631276</v>
      </c>
      <c r="D40" s="74">
        <f>D36+D38</f>
        <v>20306</v>
      </c>
      <c r="E40" s="5"/>
      <c r="F40" s="5">
        <f>F36+F38</f>
        <v>81352.83026954133</v>
      </c>
      <c r="G40" s="74">
        <f>G36+G38</f>
        <v>20396</v>
      </c>
      <c r="I40" s="74"/>
      <c r="J40" s="74"/>
      <c r="K40" s="74"/>
      <c r="L40" s="74"/>
      <c r="M40" s="74"/>
      <c r="N40" s="74"/>
      <c r="O40" s="74"/>
      <c r="P40" s="74"/>
    </row>
    <row r="41" spans="1:16" s="71" customFormat="1" ht="15" customHeight="1">
      <c r="A41" s="74"/>
      <c r="B41" s="74"/>
      <c r="C41" s="5"/>
      <c r="D41" s="74"/>
      <c r="E41" s="5"/>
      <c r="F41" s="5"/>
      <c r="G41" s="74"/>
      <c r="I41" s="74"/>
      <c r="J41" s="74"/>
      <c r="K41" s="74"/>
      <c r="L41" s="74"/>
      <c r="M41" s="74"/>
      <c r="N41" s="74"/>
      <c r="O41" s="74"/>
      <c r="P41" s="74"/>
    </row>
    <row r="42" spans="1:16" s="71" customFormat="1" ht="15" customHeight="1">
      <c r="A42" s="16" t="s">
        <v>122</v>
      </c>
      <c r="B42" s="16"/>
      <c r="C42" s="5"/>
      <c r="D42" s="74"/>
      <c r="E42" s="5"/>
      <c r="F42" s="5"/>
      <c r="G42" s="74"/>
      <c r="I42" s="74"/>
      <c r="J42" s="74"/>
      <c r="K42" s="74"/>
      <c r="L42" s="74"/>
      <c r="M42" s="74"/>
      <c r="N42" s="74"/>
      <c r="O42" s="74"/>
      <c r="P42" s="74"/>
    </row>
    <row r="43" spans="1:16" s="71" customFormat="1" ht="15" customHeight="1">
      <c r="A43" s="16" t="s">
        <v>114</v>
      </c>
      <c r="B43" s="16"/>
      <c r="C43" s="5">
        <v>0</v>
      </c>
      <c r="D43" s="74">
        <f>+'[2]working(after habib audit)'!$K$31</f>
        <v>556.2496889544254</v>
      </c>
      <c r="E43" s="5"/>
      <c r="F43" s="5">
        <f>1347</f>
        <v>1347</v>
      </c>
      <c r="G43" s="74">
        <f>+'[2]YTD(after habib audit&amp; PTRT)'!$D$95</f>
        <v>4606.906999999999</v>
      </c>
      <c r="I43" s="74"/>
      <c r="J43" s="74"/>
      <c r="K43" s="74"/>
      <c r="L43" s="74"/>
      <c r="M43" s="74"/>
      <c r="N43" s="74"/>
      <c r="O43" s="74"/>
      <c r="P43" s="74"/>
    </row>
    <row r="44" spans="1:16" s="71" customFormat="1" ht="15" customHeight="1">
      <c r="A44" s="74"/>
      <c r="B44" s="74"/>
      <c r="C44" s="60"/>
      <c r="D44" s="148"/>
      <c r="E44" s="5"/>
      <c r="F44" s="60"/>
      <c r="G44" s="148"/>
      <c r="I44" s="74"/>
      <c r="J44" s="74"/>
      <c r="K44" s="74"/>
      <c r="L44" s="74"/>
      <c r="M44" s="74"/>
      <c r="N44" s="74"/>
      <c r="O44" s="74"/>
      <c r="P44" s="74"/>
    </row>
    <row r="45" spans="1:16" s="71" customFormat="1" ht="15" customHeight="1" thickBot="1">
      <c r="A45" s="74" t="s">
        <v>88</v>
      </c>
      <c r="B45" s="74"/>
      <c r="C45" s="142">
        <f>SUM(C40:C44)</f>
        <v>22299.687948631276</v>
      </c>
      <c r="D45" s="142">
        <f>SUM(D40:D44)</f>
        <v>20862.249688954427</v>
      </c>
      <c r="E45" s="5"/>
      <c r="F45" s="142">
        <f>SUM(F40:F44)</f>
        <v>82699.83026954133</v>
      </c>
      <c r="G45" s="142">
        <f>SUM(G40:G44)</f>
        <v>25002.907</v>
      </c>
      <c r="H45" s="5"/>
      <c r="I45" s="74"/>
      <c r="J45" s="74"/>
      <c r="K45" s="74"/>
      <c r="L45" s="74"/>
      <c r="M45" s="74"/>
      <c r="N45" s="74"/>
      <c r="O45" s="74"/>
      <c r="P45" s="74"/>
    </row>
    <row r="46" spans="1:16" s="71" customFormat="1" ht="15" customHeight="1">
      <c r="A46" s="74"/>
      <c r="B46" s="74"/>
      <c r="C46" s="5"/>
      <c r="D46" s="5"/>
      <c r="E46" s="5"/>
      <c r="F46" s="5"/>
      <c r="G46" s="5"/>
      <c r="H46" s="5"/>
      <c r="I46" s="74"/>
      <c r="J46" s="74"/>
      <c r="K46" s="74"/>
      <c r="L46" s="74"/>
      <c r="M46" s="74"/>
      <c r="N46" s="74"/>
      <c r="O46" s="74"/>
      <c r="P46" s="74"/>
    </row>
    <row r="47" spans="1:16" s="69" customFormat="1" ht="15" customHeight="1">
      <c r="A47" s="119" t="s">
        <v>70</v>
      </c>
      <c r="B47" s="119"/>
      <c r="C47" s="108"/>
      <c r="D47" s="51"/>
      <c r="E47" s="108"/>
      <c r="F47" s="108"/>
      <c r="G47" s="51"/>
      <c r="I47" s="16"/>
      <c r="J47" s="74"/>
      <c r="K47" s="16"/>
      <c r="L47" s="16"/>
      <c r="M47" s="16"/>
      <c r="N47" s="16"/>
      <c r="O47" s="16"/>
      <c r="P47" s="16"/>
    </row>
    <row r="48" spans="1:16" s="69" customFormat="1" ht="15" customHeight="1">
      <c r="A48" s="56"/>
      <c r="B48" s="56"/>
      <c r="C48" s="109"/>
      <c r="D48" s="109"/>
      <c r="E48" s="109"/>
      <c r="F48" s="109"/>
      <c r="G48" s="109"/>
      <c r="I48" s="16"/>
      <c r="J48" s="74"/>
      <c r="K48" s="16"/>
      <c r="L48" s="16"/>
      <c r="M48" s="16"/>
      <c r="N48" s="16"/>
      <c r="O48" s="16"/>
      <c r="P48" s="16"/>
    </row>
    <row r="49" spans="1:16" s="69" customFormat="1" ht="15" customHeight="1">
      <c r="A49" s="56" t="s">
        <v>87</v>
      </c>
      <c r="B49" s="56"/>
      <c r="C49" s="51">
        <f>+C45-C50</f>
        <v>21318.593080079125</v>
      </c>
      <c r="D49" s="51">
        <f>+D45-D50</f>
        <v>20319.249688954427</v>
      </c>
      <c r="E49" s="109"/>
      <c r="F49" s="51">
        <v>80460</v>
      </c>
      <c r="G49" s="51">
        <f>+G45-G50</f>
        <v>24459.907</v>
      </c>
      <c r="I49" s="16"/>
      <c r="J49" s="74"/>
      <c r="K49" s="16"/>
      <c r="L49" s="16"/>
      <c r="M49" s="16"/>
      <c r="N49" s="16"/>
      <c r="O49" s="16"/>
      <c r="P49" s="16"/>
    </row>
    <row r="50" spans="1:16" s="69" customFormat="1" ht="15" customHeight="1">
      <c r="A50" s="56" t="s">
        <v>134</v>
      </c>
      <c r="B50" s="56"/>
      <c r="C50" s="51">
        <f>-'[1]Q1 &amp; Q2 Total'!$CL$85</f>
        <v>981.0948685521503</v>
      </c>
      <c r="D50" s="51">
        <f>-'[2]working(after habib audit)'!$Q$33</f>
        <v>543</v>
      </c>
      <c r="E50" s="109"/>
      <c r="F50" s="51">
        <f>-'[1]Q1 &amp; Q2 Total'!$CC$85-1</f>
        <v>2239.68581229795</v>
      </c>
      <c r="G50" s="51">
        <v>543</v>
      </c>
      <c r="I50" s="16"/>
      <c r="J50" s="74"/>
      <c r="K50" s="16"/>
      <c r="L50" s="16"/>
      <c r="M50" s="16"/>
      <c r="N50" s="16"/>
      <c r="O50" s="16"/>
      <c r="P50" s="16"/>
    </row>
    <row r="51" spans="1:16" s="69" customFormat="1" ht="15" customHeight="1" thickBot="1">
      <c r="A51" s="74" t="s">
        <v>74</v>
      </c>
      <c r="B51" s="74"/>
      <c r="C51" s="112">
        <f>+C45</f>
        <v>22299.687948631276</v>
      </c>
      <c r="D51" s="112">
        <f>+D45</f>
        <v>20862.249688954427</v>
      </c>
      <c r="E51" s="109"/>
      <c r="F51" s="112">
        <f>+F45</f>
        <v>82699.83026954133</v>
      </c>
      <c r="G51" s="112">
        <f>+G45</f>
        <v>25002.907</v>
      </c>
      <c r="I51" s="16"/>
      <c r="J51" s="74"/>
      <c r="K51" s="16"/>
      <c r="L51" s="16"/>
      <c r="M51" s="16"/>
      <c r="N51" s="16"/>
      <c r="O51" s="16"/>
      <c r="P51" s="16"/>
    </row>
    <row r="52" spans="1:16" s="69" customFormat="1" ht="15" customHeight="1" thickTop="1">
      <c r="A52" s="56"/>
      <c r="B52" s="56"/>
      <c r="C52" s="109"/>
      <c r="D52" s="109"/>
      <c r="E52" s="109"/>
      <c r="F52" s="109"/>
      <c r="G52" s="109"/>
      <c r="I52" s="16"/>
      <c r="J52" s="74"/>
      <c r="K52" s="16"/>
      <c r="L52" s="16"/>
      <c r="M52" s="16"/>
      <c r="N52" s="16"/>
      <c r="O52" s="16"/>
      <c r="P52" s="16"/>
    </row>
    <row r="53" spans="1:16" s="69" customFormat="1" ht="15" customHeight="1">
      <c r="A53" s="56"/>
      <c r="B53" s="56"/>
      <c r="C53" s="110"/>
      <c r="D53" s="111"/>
      <c r="E53" s="110"/>
      <c r="F53" s="110"/>
      <c r="G53" s="111"/>
      <c r="I53" s="16"/>
      <c r="J53" s="74"/>
      <c r="K53" s="16"/>
      <c r="L53" s="16"/>
      <c r="M53" s="16"/>
      <c r="N53" s="16"/>
      <c r="O53" s="16"/>
      <c r="P53" s="16"/>
    </row>
    <row r="54" spans="1:16" s="69" customFormat="1" ht="15" customHeight="1">
      <c r="A54" s="56" t="s">
        <v>119</v>
      </c>
      <c r="B54" s="56"/>
      <c r="C54" s="110"/>
      <c r="D54" s="111"/>
      <c r="E54" s="110"/>
      <c r="F54" s="110"/>
      <c r="G54" s="111"/>
      <c r="I54" s="16"/>
      <c r="J54" s="74"/>
      <c r="K54" s="16"/>
      <c r="L54" s="16"/>
      <c r="M54" s="16"/>
      <c r="N54" s="16"/>
      <c r="O54" s="16"/>
      <c r="P54" s="16"/>
    </row>
    <row r="55" spans="1:16" s="69" customFormat="1" ht="15" customHeight="1">
      <c r="A55" s="56" t="s">
        <v>118</v>
      </c>
      <c r="B55" s="56"/>
      <c r="C55" s="110"/>
      <c r="D55" s="111"/>
      <c r="E55" s="110"/>
      <c r="F55" s="110"/>
      <c r="G55" s="111"/>
      <c r="I55" s="16"/>
      <c r="J55" s="74"/>
      <c r="K55" s="16"/>
      <c r="L55" s="16"/>
      <c r="M55" s="16"/>
      <c r="N55" s="16"/>
      <c r="O55" s="16"/>
      <c r="P55" s="16"/>
    </row>
    <row r="56" spans="1:16" s="69" customFormat="1" ht="15" customHeight="1">
      <c r="A56" s="56"/>
      <c r="B56" s="56"/>
      <c r="C56" s="110"/>
      <c r="D56" s="111"/>
      <c r="E56" s="110"/>
      <c r="F56" s="110"/>
      <c r="G56" s="111"/>
      <c r="I56" s="16"/>
      <c r="J56" s="74"/>
      <c r="K56" s="16"/>
      <c r="L56" s="16"/>
      <c r="M56" s="16"/>
      <c r="N56" s="16"/>
      <c r="O56" s="16"/>
      <c r="P56" s="16"/>
    </row>
    <row r="57" spans="1:16" s="69" customFormat="1" ht="15" customHeight="1">
      <c r="A57" s="154" t="s">
        <v>39</v>
      </c>
      <c r="B57" s="154"/>
      <c r="C57" s="13"/>
      <c r="D57" s="16"/>
      <c r="E57" s="13"/>
      <c r="F57" s="13"/>
      <c r="G57" s="16"/>
      <c r="I57" s="16"/>
      <c r="J57" s="74"/>
      <c r="K57" s="16"/>
      <c r="L57" s="16"/>
      <c r="M57" s="16"/>
      <c r="N57" s="16"/>
      <c r="O57" s="16"/>
      <c r="P57" s="16"/>
    </row>
    <row r="58" spans="1:16" s="71" customFormat="1" ht="15" customHeight="1">
      <c r="A58" s="71" t="s">
        <v>116</v>
      </c>
      <c r="C58" s="108">
        <f>+'[5]Sheet2'!$E$26</f>
        <v>2.9083654400818353</v>
      </c>
      <c r="D58" s="159">
        <v>3.22</v>
      </c>
      <c r="E58" s="108"/>
      <c r="F58" s="108">
        <v>11.65</v>
      </c>
      <c r="G58" s="161">
        <f>'[5]Sheet2'!$Q$26</f>
        <v>8.987997660173724</v>
      </c>
      <c r="I58" s="83"/>
      <c r="J58" s="74"/>
      <c r="K58" s="16"/>
      <c r="L58" s="16"/>
      <c r="M58" s="16"/>
      <c r="N58" s="16"/>
      <c r="O58" s="16"/>
      <c r="P58" s="16"/>
    </row>
    <row r="59" spans="1:16" s="71" customFormat="1" ht="15" customHeight="1">
      <c r="A59" s="16" t="s">
        <v>115</v>
      </c>
      <c r="B59" s="16"/>
      <c r="C59" s="108">
        <f>'[5]Sheet2'!$D$26</f>
        <v>0</v>
      </c>
      <c r="D59" s="159">
        <f>'[5]Sheet2'!$L$26</f>
        <v>0.09461428628971046</v>
      </c>
      <c r="E59" s="108"/>
      <c r="F59" s="108">
        <f>'[5]Sheet2'!$H$26</f>
        <v>0.20638862136114342</v>
      </c>
      <c r="G59" s="161">
        <f>'[5]Sheet2'!$P$26</f>
        <v>2.1807327637215685</v>
      </c>
      <c r="I59" s="83"/>
      <c r="J59" s="74"/>
      <c r="K59" s="16"/>
      <c r="L59" s="16"/>
      <c r="M59" s="16"/>
      <c r="N59" s="16"/>
      <c r="O59" s="16"/>
      <c r="P59" s="16"/>
    </row>
    <row r="60" spans="1:16" s="71" customFormat="1" ht="15" customHeight="1" thickBot="1">
      <c r="A60" s="16"/>
      <c r="B60" s="16"/>
      <c r="C60" s="155">
        <f>SUM(C58:C59)</f>
        <v>2.9083654400818353</v>
      </c>
      <c r="D60" s="158">
        <f>SUM(D58:D59)</f>
        <v>3.3146142862897108</v>
      </c>
      <c r="E60" s="108"/>
      <c r="F60" s="155">
        <f>SUM(F58:F59)</f>
        <v>11.856388621361143</v>
      </c>
      <c r="G60" s="158">
        <f>SUM(G58:G59)</f>
        <v>11.168730423895292</v>
      </c>
      <c r="I60" s="83"/>
      <c r="J60" s="74"/>
      <c r="K60" s="16"/>
      <c r="L60" s="16"/>
      <c r="M60" s="16"/>
      <c r="N60" s="16"/>
      <c r="O60" s="16"/>
      <c r="P60" s="16"/>
    </row>
    <row r="61" spans="1:16" s="71" customFormat="1" ht="15" customHeight="1" thickTop="1">
      <c r="A61" s="16"/>
      <c r="B61" s="16"/>
      <c r="C61" s="108"/>
      <c r="D61" s="159"/>
      <c r="E61" s="108"/>
      <c r="F61" s="108"/>
      <c r="G61" s="159"/>
      <c r="I61" s="83"/>
      <c r="J61" s="74"/>
      <c r="K61" s="16"/>
      <c r="L61" s="16"/>
      <c r="M61" s="16"/>
      <c r="N61" s="16"/>
      <c r="O61" s="16"/>
      <c r="P61" s="16"/>
    </row>
    <row r="62" spans="1:16" s="69" customFormat="1" ht="15" customHeight="1">
      <c r="A62" s="154" t="s">
        <v>17</v>
      </c>
      <c r="B62" s="154"/>
      <c r="C62" s="108"/>
      <c r="D62" s="160"/>
      <c r="E62" s="108"/>
      <c r="F62" s="108"/>
      <c r="G62" s="160"/>
      <c r="I62" s="16"/>
      <c r="J62" s="74"/>
      <c r="K62" s="56"/>
      <c r="L62" s="56"/>
      <c r="M62" s="56"/>
      <c r="N62" s="16"/>
      <c r="O62" s="16"/>
      <c r="P62" s="16"/>
    </row>
    <row r="63" spans="1:16" s="69" customFormat="1" ht="15" customHeight="1">
      <c r="A63" s="71" t="s">
        <v>116</v>
      </c>
      <c r="B63" s="71"/>
      <c r="C63" s="108">
        <f>+'[5]Sheet2'!$E$28</f>
        <v>2.9083654400818353</v>
      </c>
      <c r="D63" s="159">
        <f>ROUNDDOWN('[5]Sheet2'!$M$28,2)</f>
        <v>2.71</v>
      </c>
      <c r="E63" s="108"/>
      <c r="F63" s="108">
        <v>11.65</v>
      </c>
      <c r="G63" s="159">
        <f>ROUNDDOWN('[5]Sheet2'!$Q$28,2)</f>
        <v>8.04</v>
      </c>
      <c r="I63" s="16"/>
      <c r="J63" s="74"/>
      <c r="K63" s="56"/>
      <c r="L63" s="56"/>
      <c r="M63" s="56"/>
      <c r="N63" s="16"/>
      <c r="O63" s="16"/>
      <c r="P63" s="16"/>
    </row>
    <row r="64" spans="1:16" s="69" customFormat="1" ht="15" customHeight="1">
      <c r="A64" s="16" t="s">
        <v>115</v>
      </c>
      <c r="B64" s="16"/>
      <c r="C64" s="108">
        <f>'[5]Sheet2'!$D$28</f>
        <v>0</v>
      </c>
      <c r="D64" s="159">
        <f>+'[5]Sheet2'!$L$28</f>
        <v>0.07650849935346676</v>
      </c>
      <c r="E64" s="108"/>
      <c r="F64" s="108">
        <v>0.21</v>
      </c>
      <c r="G64" s="159">
        <f>'[5]Sheet2'!$P$28</f>
        <v>1.8673747998621832</v>
      </c>
      <c r="I64" s="16"/>
      <c r="J64" s="74"/>
      <c r="K64" s="56"/>
      <c r="L64" s="56"/>
      <c r="M64" s="56"/>
      <c r="N64" s="16"/>
      <c r="O64" s="16"/>
      <c r="P64" s="16"/>
    </row>
    <row r="65" spans="1:16" s="69" customFormat="1" ht="15" customHeight="1" thickBot="1">
      <c r="A65" s="16"/>
      <c r="B65" s="16"/>
      <c r="C65" s="155">
        <f>SUM(C63:C64)</f>
        <v>2.9083654400818353</v>
      </c>
      <c r="D65" s="158">
        <f>SUM(D63:D64)</f>
        <v>2.7865084993534666</v>
      </c>
      <c r="E65" s="108"/>
      <c r="F65" s="155">
        <f>SUM(F63:F64)</f>
        <v>11.860000000000001</v>
      </c>
      <c r="G65" s="162">
        <f>SUM(G63:G64)</f>
        <v>9.907374799862183</v>
      </c>
      <c r="I65" s="16"/>
      <c r="J65" s="74"/>
      <c r="K65" s="56"/>
      <c r="L65" s="56"/>
      <c r="M65" s="56"/>
      <c r="N65" s="16"/>
      <c r="O65" s="16"/>
      <c r="P65" s="16"/>
    </row>
    <row r="66" spans="1:16" s="69" customFormat="1" ht="15" customHeight="1" thickTop="1">
      <c r="A66" s="16"/>
      <c r="B66" s="16"/>
      <c r="C66" s="108"/>
      <c r="D66" s="160"/>
      <c r="E66" s="108"/>
      <c r="F66" s="108"/>
      <c r="G66" s="160"/>
      <c r="I66" s="16"/>
      <c r="J66" s="74"/>
      <c r="K66" s="56"/>
      <c r="L66" s="56"/>
      <c r="M66" s="56"/>
      <c r="N66" s="16"/>
      <c r="O66" s="16"/>
      <c r="P66" s="16"/>
    </row>
    <row r="67" spans="1:16" s="69" customFormat="1" ht="15" customHeight="1">
      <c r="A67" s="16"/>
      <c r="B67" s="16"/>
      <c r="C67" s="108"/>
      <c r="D67" s="51"/>
      <c r="E67" s="108"/>
      <c r="F67" s="108"/>
      <c r="G67" s="160"/>
      <c r="I67" s="16"/>
      <c r="J67" s="74"/>
      <c r="K67" s="56"/>
      <c r="L67" s="56"/>
      <c r="M67" s="56"/>
      <c r="N67" s="16"/>
      <c r="O67" s="16"/>
      <c r="P67" s="16"/>
    </row>
    <row r="68" spans="1:16" s="69" customFormat="1" ht="15" customHeight="1">
      <c r="A68" s="16"/>
      <c r="B68" s="16"/>
      <c r="C68" s="108"/>
      <c r="D68" s="51"/>
      <c r="E68" s="108"/>
      <c r="F68" s="108"/>
      <c r="G68" s="51"/>
      <c r="I68" s="16"/>
      <c r="J68" s="74"/>
      <c r="K68" s="56"/>
      <c r="L68" s="56"/>
      <c r="M68" s="56"/>
      <c r="N68" s="16"/>
      <c r="O68" s="16"/>
      <c r="P68" s="16"/>
    </row>
    <row r="69" spans="1:16" s="69" customFormat="1" ht="15" customHeight="1">
      <c r="A69" s="16"/>
      <c r="B69" s="16"/>
      <c r="C69" s="108"/>
      <c r="D69" s="51"/>
      <c r="E69" s="108"/>
      <c r="F69" s="108"/>
      <c r="G69" s="51"/>
      <c r="I69" s="16"/>
      <c r="J69" s="74"/>
      <c r="K69" s="56"/>
      <c r="L69" s="56"/>
      <c r="M69" s="56"/>
      <c r="N69" s="16"/>
      <c r="O69" s="16"/>
      <c r="P69" s="16"/>
    </row>
    <row r="70" spans="1:16" s="69" customFormat="1" ht="15" customHeight="1">
      <c r="A70" s="16" t="s">
        <v>60</v>
      </c>
      <c r="B70" s="16"/>
      <c r="C70" s="13"/>
      <c r="D70" s="51"/>
      <c r="E70" s="13"/>
      <c r="F70" s="13"/>
      <c r="G70" s="51"/>
      <c r="I70" s="16"/>
      <c r="J70" s="74"/>
      <c r="K70" s="56"/>
      <c r="L70" s="56"/>
      <c r="M70" s="56"/>
      <c r="N70" s="16"/>
      <c r="O70" s="16"/>
      <c r="P70" s="16"/>
    </row>
    <row r="71" spans="1:15" s="69" customFormat="1" ht="15" customHeight="1">
      <c r="A71" s="56"/>
      <c r="B71" s="56"/>
      <c r="C71" s="13"/>
      <c r="D71" s="13"/>
      <c r="E71" s="14"/>
      <c r="F71" s="13"/>
      <c r="H71" s="16"/>
      <c r="I71" s="16"/>
      <c r="J71" s="74"/>
      <c r="K71" s="56"/>
      <c r="L71" s="56"/>
      <c r="M71" s="56"/>
      <c r="N71" s="71"/>
      <c r="O71" s="71"/>
    </row>
    <row r="72" spans="1:15" s="69" customFormat="1" ht="15" customHeight="1">
      <c r="A72" s="164" t="s">
        <v>63</v>
      </c>
      <c r="B72" s="164"/>
      <c r="C72" s="165"/>
      <c r="D72" s="165"/>
      <c r="E72" s="165"/>
      <c r="F72" s="165"/>
      <c r="G72" s="165"/>
      <c r="H72" s="165"/>
      <c r="J72" s="74"/>
      <c r="N72" s="71"/>
      <c r="O72" s="71"/>
    </row>
    <row r="73" spans="1:15" s="69" customFormat="1" ht="15" customHeight="1">
      <c r="A73" s="165"/>
      <c r="B73" s="165"/>
      <c r="C73" s="165"/>
      <c r="D73" s="165"/>
      <c r="E73" s="165"/>
      <c r="F73" s="165"/>
      <c r="G73" s="165"/>
      <c r="H73" s="165"/>
      <c r="I73" s="16"/>
      <c r="J73" s="74"/>
      <c r="K73" s="56"/>
      <c r="L73" s="56"/>
      <c r="M73" s="56"/>
      <c r="N73" s="71"/>
      <c r="O73" s="71"/>
    </row>
    <row r="74" spans="1:15" s="69" customFormat="1" ht="7.5" customHeight="1">
      <c r="A74" s="165"/>
      <c r="B74" s="165"/>
      <c r="C74" s="165"/>
      <c r="D74" s="165"/>
      <c r="E74" s="165"/>
      <c r="F74" s="165"/>
      <c r="G74" s="165"/>
      <c r="H74" s="165"/>
      <c r="I74" s="16"/>
      <c r="K74" s="56"/>
      <c r="L74" s="56"/>
      <c r="M74" s="56"/>
      <c r="N74" s="56"/>
      <c r="O74" s="71"/>
    </row>
    <row r="75" spans="1:15" s="69" customFormat="1" ht="15" customHeight="1">
      <c r="A75" s="56"/>
      <c r="B75" s="56"/>
      <c r="C75" s="14"/>
      <c r="D75" s="14"/>
      <c r="E75" s="15"/>
      <c r="F75" s="15"/>
      <c r="G75" s="56"/>
      <c r="H75" s="56"/>
      <c r="I75" s="16"/>
      <c r="K75" s="56"/>
      <c r="L75" s="56"/>
      <c r="M75" s="56"/>
      <c r="N75" s="56"/>
      <c r="O75" s="71"/>
    </row>
    <row r="76" spans="1:15" s="69" customFormat="1" ht="15" customHeight="1">
      <c r="A76" s="153" t="s">
        <v>129</v>
      </c>
      <c r="B76" s="56"/>
      <c r="C76" s="14"/>
      <c r="D76" s="14"/>
      <c r="E76" s="15"/>
      <c r="F76" s="15"/>
      <c r="G76" s="56"/>
      <c r="I76" s="16"/>
      <c r="K76" s="56"/>
      <c r="L76" s="56"/>
      <c r="M76" s="56"/>
      <c r="N76" s="56"/>
      <c r="O76" s="71"/>
    </row>
    <row r="77" spans="1:15" s="69" customFormat="1" ht="15" customHeight="1">
      <c r="A77" s="56"/>
      <c r="B77" s="56"/>
      <c r="C77" s="13"/>
      <c r="D77" s="14"/>
      <c r="E77" s="15"/>
      <c r="F77" s="15"/>
      <c r="G77" s="56"/>
      <c r="H77" s="84"/>
      <c r="I77" s="16"/>
      <c r="K77" s="56"/>
      <c r="L77" s="56"/>
      <c r="M77" s="56"/>
      <c r="N77" s="56"/>
      <c r="O77" s="71"/>
    </row>
    <row r="78" spans="1:15" s="69" customFormat="1" ht="15" customHeight="1">
      <c r="A78" s="56"/>
      <c r="B78" s="56"/>
      <c r="C78" s="15"/>
      <c r="D78" s="14"/>
      <c r="E78" s="15"/>
      <c r="F78" s="15"/>
      <c r="G78" s="56"/>
      <c r="I78" s="16"/>
      <c r="J78" s="16"/>
      <c r="K78" s="56"/>
      <c r="L78" s="56"/>
      <c r="M78" s="56"/>
      <c r="N78" s="16"/>
      <c r="O78" s="71"/>
    </row>
    <row r="79" spans="1:15" s="69" customFormat="1" ht="15" customHeight="1">
      <c r="A79" s="56"/>
      <c r="B79" s="56"/>
      <c r="C79" s="14"/>
      <c r="D79" s="14"/>
      <c r="E79" s="15"/>
      <c r="F79" s="15"/>
      <c r="O79" s="71"/>
    </row>
    <row r="80" spans="1:15" s="69" customFormat="1" ht="15" customHeight="1">
      <c r="A80" s="56"/>
      <c r="B80" s="56"/>
      <c r="C80" s="13"/>
      <c r="D80" s="13"/>
      <c r="E80" s="15"/>
      <c r="F80" s="15"/>
      <c r="N80" s="71"/>
      <c r="O80" s="71"/>
    </row>
    <row r="81" spans="1:15" s="69" customFormat="1" ht="15" customHeight="1">
      <c r="A81" s="56"/>
      <c r="B81" s="56"/>
      <c r="C81" s="13"/>
      <c r="D81" s="13"/>
      <c r="E81" s="15"/>
      <c r="F81" s="15"/>
      <c r="G81" s="56"/>
      <c r="N81" s="71"/>
      <c r="O81" s="71"/>
    </row>
    <row r="82" spans="1:15" s="69" customFormat="1" ht="15" customHeight="1">
      <c r="A82" s="56"/>
      <c r="B82" s="56"/>
      <c r="C82" s="14"/>
      <c r="D82" s="14"/>
      <c r="E82" s="15"/>
      <c r="F82" s="15"/>
      <c r="N82" s="71"/>
      <c r="O82" s="71"/>
    </row>
    <row r="83" spans="1:15" s="69" customFormat="1" ht="15" customHeight="1">
      <c r="A83" s="56"/>
      <c r="B83" s="56"/>
      <c r="C83" s="13"/>
      <c r="D83" s="14"/>
      <c r="E83" s="15"/>
      <c r="F83" s="15"/>
      <c r="N83" s="71"/>
      <c r="O83" s="71"/>
    </row>
    <row r="84" spans="1:15" s="69" customFormat="1" ht="15" customHeight="1">
      <c r="A84" s="56"/>
      <c r="B84" s="56"/>
      <c r="C84" s="13"/>
      <c r="D84" s="14"/>
      <c r="E84" s="15"/>
      <c r="F84" s="15"/>
      <c r="N84" s="71"/>
      <c r="O84" s="71"/>
    </row>
    <row r="85" spans="1:15" s="69" customFormat="1" ht="15" customHeight="1">
      <c r="A85" s="56"/>
      <c r="B85" s="56"/>
      <c r="C85" s="13"/>
      <c r="D85" s="14"/>
      <c r="E85" s="15"/>
      <c r="F85" s="15"/>
      <c r="N85" s="71"/>
      <c r="O85" s="71"/>
    </row>
    <row r="86" spans="1:15" s="69" customFormat="1" ht="15" customHeight="1">
      <c r="A86" s="56"/>
      <c r="B86" s="56"/>
      <c r="C86" s="14"/>
      <c r="D86" s="14"/>
      <c r="E86" s="13"/>
      <c r="F86" s="13"/>
      <c r="N86" s="71"/>
      <c r="O86" s="71"/>
    </row>
    <row r="87" spans="1:16" s="69" customFormat="1" ht="15" customHeight="1">
      <c r="A87" s="56"/>
      <c r="B87" s="56"/>
      <c r="C87" s="13"/>
      <c r="D87" s="13"/>
      <c r="E87" s="13"/>
      <c r="F87" s="13"/>
      <c r="G87" s="56"/>
      <c r="I87" s="16"/>
      <c r="J87" s="16"/>
      <c r="K87" s="56"/>
      <c r="L87" s="56"/>
      <c r="M87" s="56"/>
      <c r="N87" s="16"/>
      <c r="O87" s="16"/>
      <c r="P87" s="16"/>
    </row>
    <row r="88" spans="1:16" s="69" customFormat="1" ht="15" customHeight="1">
      <c r="A88" s="56"/>
      <c r="B88" s="56"/>
      <c r="C88" s="13"/>
      <c r="D88" s="13"/>
      <c r="E88" s="13"/>
      <c r="F88" s="13"/>
      <c r="G88" s="56"/>
      <c r="I88" s="16"/>
      <c r="J88" s="16"/>
      <c r="K88" s="56"/>
      <c r="L88" s="56"/>
      <c r="M88" s="56"/>
      <c r="N88" s="16"/>
      <c r="O88" s="16"/>
      <c r="P88" s="16"/>
    </row>
    <row r="89" spans="1:16" s="69" customFormat="1" ht="15" customHeight="1">
      <c r="A89" s="56"/>
      <c r="B89" s="56"/>
      <c r="C89" s="13"/>
      <c r="D89" s="13"/>
      <c r="E89" s="13"/>
      <c r="F89" s="13"/>
      <c r="G89" s="56"/>
      <c r="I89" s="16"/>
      <c r="J89" s="16"/>
      <c r="K89" s="56"/>
      <c r="L89" s="56"/>
      <c r="M89" s="56"/>
      <c r="N89" s="16"/>
      <c r="O89" s="16"/>
      <c r="P89" s="16"/>
    </row>
    <row r="90" spans="1:16" s="69" customFormat="1" ht="15" customHeight="1">
      <c r="A90" s="56"/>
      <c r="B90" s="56"/>
      <c r="C90" s="13"/>
      <c r="D90" s="13"/>
      <c r="E90" s="13"/>
      <c r="F90" s="13"/>
      <c r="G90" s="56"/>
      <c r="I90" s="16"/>
      <c r="J90" s="16"/>
      <c r="K90" s="56"/>
      <c r="L90" s="56"/>
      <c r="M90" s="56"/>
      <c r="N90" s="16"/>
      <c r="O90" s="16"/>
      <c r="P90" s="16"/>
    </row>
    <row r="91" spans="1:16" s="69" customFormat="1" ht="15" customHeight="1">
      <c r="A91" s="56"/>
      <c r="B91" s="56"/>
      <c r="C91" s="13"/>
      <c r="D91" s="13"/>
      <c r="E91" s="13"/>
      <c r="F91" s="13"/>
      <c r="G91" s="56"/>
      <c r="I91" s="16"/>
      <c r="J91" s="16"/>
      <c r="K91" s="56"/>
      <c r="L91" s="56"/>
      <c r="M91" s="56"/>
      <c r="N91" s="16"/>
      <c r="O91" s="16"/>
      <c r="P91" s="16"/>
    </row>
    <row r="92" spans="1:16" s="69" customFormat="1" ht="15" customHeight="1">
      <c r="A92" s="56"/>
      <c r="B92" s="56"/>
      <c r="C92" s="16"/>
      <c r="D92" s="16"/>
      <c r="E92" s="16"/>
      <c r="F92" s="16"/>
      <c r="G92" s="56"/>
      <c r="I92" s="16"/>
      <c r="J92" s="16"/>
      <c r="K92" s="56"/>
      <c r="L92" s="56"/>
      <c r="M92" s="56"/>
      <c r="N92" s="16"/>
      <c r="O92" s="16"/>
      <c r="P92" s="16"/>
    </row>
    <row r="93" spans="1:16" s="69" customFormat="1" ht="15" customHeight="1">
      <c r="A93" s="56"/>
      <c r="B93" s="56"/>
      <c r="C93" s="16"/>
      <c r="D93" s="16"/>
      <c r="E93" s="16"/>
      <c r="F93" s="16"/>
      <c r="G93" s="56"/>
      <c r="I93" s="16"/>
      <c r="J93" s="16"/>
      <c r="K93" s="56"/>
      <c r="L93" s="56"/>
      <c r="M93" s="56"/>
      <c r="N93" s="16"/>
      <c r="O93" s="16"/>
      <c r="P93" s="16"/>
    </row>
    <row r="94" spans="1:16" s="69" customFormat="1" ht="15" customHeight="1">
      <c r="A94" s="56"/>
      <c r="B94" s="56"/>
      <c r="C94" s="16"/>
      <c r="D94" s="16"/>
      <c r="E94" s="16"/>
      <c r="F94" s="16"/>
      <c r="G94" s="56"/>
      <c r="I94" s="16"/>
      <c r="J94" s="16"/>
      <c r="K94" s="56"/>
      <c r="L94" s="56"/>
      <c r="M94" s="56"/>
      <c r="N94" s="16"/>
      <c r="O94" s="16"/>
      <c r="P94" s="16"/>
    </row>
    <row r="95" spans="1:16" s="69" customFormat="1" ht="15" customHeight="1">
      <c r="A95" s="56"/>
      <c r="B95" s="56"/>
      <c r="C95" s="16"/>
      <c r="D95" s="16"/>
      <c r="E95" s="16"/>
      <c r="F95" s="16"/>
      <c r="G95" s="56"/>
      <c r="I95" s="16"/>
      <c r="J95" s="16"/>
      <c r="K95" s="56"/>
      <c r="L95" s="56"/>
      <c r="M95" s="56"/>
      <c r="N95" s="16"/>
      <c r="O95" s="16"/>
      <c r="P95" s="16"/>
    </row>
    <row r="96" spans="1:16" s="69" customFormat="1" ht="15" customHeight="1">
      <c r="A96" s="56"/>
      <c r="B96" s="56"/>
      <c r="C96" s="16"/>
      <c r="D96" s="16"/>
      <c r="E96" s="16"/>
      <c r="F96" s="16"/>
      <c r="G96" s="56"/>
      <c r="I96" s="16"/>
      <c r="J96" s="16"/>
      <c r="K96" s="56"/>
      <c r="L96" s="56"/>
      <c r="M96" s="56"/>
      <c r="N96" s="16"/>
      <c r="O96" s="16"/>
      <c r="P96" s="16"/>
    </row>
    <row r="97" spans="1:16" s="69" customFormat="1" ht="15" customHeight="1">
      <c r="A97" s="56"/>
      <c r="B97" s="56"/>
      <c r="C97" s="16"/>
      <c r="D97" s="16"/>
      <c r="E97" s="16"/>
      <c r="F97" s="16"/>
      <c r="G97" s="56"/>
      <c r="I97" s="16"/>
      <c r="J97" s="16"/>
      <c r="K97" s="56"/>
      <c r="L97" s="56"/>
      <c r="M97" s="56"/>
      <c r="N97" s="16"/>
      <c r="O97" s="16"/>
      <c r="P97" s="16"/>
    </row>
    <row r="98" spans="1:16" s="69" customFormat="1" ht="15" customHeight="1">
      <c r="A98" s="56"/>
      <c r="B98" s="56"/>
      <c r="C98" s="16"/>
      <c r="D98" s="16"/>
      <c r="E98" s="16"/>
      <c r="F98" s="16"/>
      <c r="G98" s="56"/>
      <c r="I98" s="16"/>
      <c r="J98" s="16"/>
      <c r="K98" s="56"/>
      <c r="L98" s="56"/>
      <c r="M98" s="56"/>
      <c r="N98" s="16"/>
      <c r="O98" s="16"/>
      <c r="P98" s="16"/>
    </row>
    <row r="99" spans="1:16" s="69" customFormat="1" ht="15" customHeight="1">
      <c r="A99" s="56"/>
      <c r="B99" s="56"/>
      <c r="C99" s="16"/>
      <c r="D99" s="16"/>
      <c r="E99" s="16"/>
      <c r="F99" s="16"/>
      <c r="G99" s="56"/>
      <c r="I99" s="16"/>
      <c r="J99" s="16"/>
      <c r="K99" s="56"/>
      <c r="L99" s="56"/>
      <c r="M99" s="56"/>
      <c r="N99" s="16"/>
      <c r="O99" s="16"/>
      <c r="P99" s="16"/>
    </row>
    <row r="100" spans="1:16" s="69" customFormat="1" ht="15" customHeight="1">
      <c r="A100" s="56"/>
      <c r="B100" s="56"/>
      <c r="C100" s="16"/>
      <c r="D100" s="16"/>
      <c r="E100" s="16"/>
      <c r="F100" s="16"/>
      <c r="G100" s="56"/>
      <c r="I100" s="16"/>
      <c r="J100" s="16"/>
      <c r="K100" s="56"/>
      <c r="L100" s="56"/>
      <c r="M100" s="56"/>
      <c r="N100" s="16"/>
      <c r="O100" s="16"/>
      <c r="P100" s="16"/>
    </row>
    <row r="101" spans="1:16" s="69" customFormat="1" ht="15" customHeight="1">
      <c r="A101" s="56"/>
      <c r="B101" s="56"/>
      <c r="C101" s="16"/>
      <c r="D101" s="16"/>
      <c r="E101" s="16"/>
      <c r="F101" s="16"/>
      <c r="G101" s="56"/>
      <c r="I101" s="16"/>
      <c r="J101" s="16"/>
      <c r="K101" s="56"/>
      <c r="L101" s="56"/>
      <c r="M101" s="56"/>
      <c r="N101" s="16"/>
      <c r="O101" s="16"/>
      <c r="P101" s="16"/>
    </row>
    <row r="102" spans="1:16" s="69" customFormat="1" ht="15" customHeight="1">
      <c r="A102" s="56"/>
      <c r="B102" s="56"/>
      <c r="C102" s="16"/>
      <c r="D102" s="16"/>
      <c r="E102" s="16"/>
      <c r="F102" s="16"/>
      <c r="G102" s="56"/>
      <c r="I102" s="16"/>
      <c r="J102" s="16"/>
      <c r="K102" s="56"/>
      <c r="L102" s="56"/>
      <c r="M102" s="56"/>
      <c r="N102" s="16"/>
      <c r="O102" s="16"/>
      <c r="P102" s="16"/>
    </row>
    <row r="103" spans="1:16" s="69" customFormat="1" ht="15" customHeight="1">
      <c r="A103" s="56"/>
      <c r="B103" s="56"/>
      <c r="C103" s="16"/>
      <c r="D103" s="16"/>
      <c r="E103" s="16"/>
      <c r="F103" s="16"/>
      <c r="G103" s="56"/>
      <c r="I103" s="16"/>
      <c r="J103" s="16"/>
      <c r="K103" s="56"/>
      <c r="L103" s="56"/>
      <c r="M103" s="56"/>
      <c r="N103" s="16"/>
      <c r="O103" s="16"/>
      <c r="P103" s="16"/>
    </row>
    <row r="104" spans="1:16" s="69" customFormat="1" ht="15" customHeight="1">
      <c r="A104" s="56"/>
      <c r="B104" s="56"/>
      <c r="C104" s="16"/>
      <c r="D104" s="16"/>
      <c r="E104" s="16"/>
      <c r="F104" s="16"/>
      <c r="G104" s="56"/>
      <c r="I104" s="16"/>
      <c r="J104" s="16"/>
      <c r="K104" s="56"/>
      <c r="L104" s="56"/>
      <c r="M104" s="56"/>
      <c r="N104" s="16"/>
      <c r="O104" s="16"/>
      <c r="P104" s="16"/>
    </row>
    <row r="105" spans="1:16" s="69" customFormat="1" ht="15" customHeight="1">
      <c r="A105" s="56"/>
      <c r="B105" s="56"/>
      <c r="C105" s="16"/>
      <c r="D105" s="16"/>
      <c r="E105" s="16"/>
      <c r="F105" s="16"/>
      <c r="G105" s="56"/>
      <c r="I105" s="16"/>
      <c r="J105" s="16"/>
      <c r="K105" s="56"/>
      <c r="L105" s="56"/>
      <c r="M105" s="56"/>
      <c r="N105" s="16"/>
      <c r="O105" s="16"/>
      <c r="P105" s="16"/>
    </row>
    <row r="106" spans="1:16" s="69" customFormat="1" ht="15" customHeight="1">
      <c r="A106" s="56"/>
      <c r="B106" s="56"/>
      <c r="C106" s="16"/>
      <c r="D106" s="16"/>
      <c r="E106" s="16"/>
      <c r="F106" s="16"/>
      <c r="G106" s="56"/>
      <c r="I106" s="16"/>
      <c r="J106" s="16"/>
      <c r="K106" s="56"/>
      <c r="L106" s="56"/>
      <c r="M106" s="56"/>
      <c r="N106" s="16"/>
      <c r="O106" s="16"/>
      <c r="P106" s="16"/>
    </row>
    <row r="107" spans="1:16" s="69" customFormat="1" ht="15" customHeight="1">
      <c r="A107" s="56"/>
      <c r="B107" s="56"/>
      <c r="C107" s="16"/>
      <c r="D107" s="16"/>
      <c r="E107" s="16"/>
      <c r="F107" s="16"/>
      <c r="G107" s="56"/>
      <c r="I107" s="16"/>
      <c r="J107" s="16"/>
      <c r="K107" s="56"/>
      <c r="L107" s="56"/>
      <c r="M107" s="56"/>
      <c r="N107" s="16"/>
      <c r="O107" s="16"/>
      <c r="P107" s="16"/>
    </row>
    <row r="108" spans="1:16" s="69" customFormat="1" ht="15" customHeight="1">
      <c r="A108" s="56"/>
      <c r="B108" s="56"/>
      <c r="C108" s="16"/>
      <c r="D108" s="16"/>
      <c r="E108" s="16"/>
      <c r="F108" s="16"/>
      <c r="G108" s="56"/>
      <c r="I108" s="16"/>
      <c r="J108" s="16"/>
      <c r="K108" s="56"/>
      <c r="L108" s="56"/>
      <c r="M108" s="56"/>
      <c r="N108" s="16"/>
      <c r="O108" s="16"/>
      <c r="P108" s="16"/>
    </row>
    <row r="109" spans="1:16" s="69" customFormat="1" ht="15" customHeight="1">
      <c r="A109" s="56"/>
      <c r="B109" s="56"/>
      <c r="C109" s="16"/>
      <c r="D109" s="16"/>
      <c r="E109" s="16"/>
      <c r="F109" s="16"/>
      <c r="G109" s="56"/>
      <c r="I109" s="16"/>
      <c r="J109" s="16"/>
      <c r="K109" s="56"/>
      <c r="L109" s="56"/>
      <c r="M109" s="56"/>
      <c r="N109" s="16"/>
      <c r="O109" s="16"/>
      <c r="P109" s="16"/>
    </row>
  </sheetData>
  <mergeCells count="8">
    <mergeCell ref="A72:H74"/>
    <mergeCell ref="N9:O9"/>
    <mergeCell ref="C10:D10"/>
    <mergeCell ref="F10:G10"/>
    <mergeCell ref="F11:G11"/>
    <mergeCell ref="C11:D11"/>
    <mergeCell ref="F9:G9"/>
    <mergeCell ref="C9:D9"/>
  </mergeCells>
  <printOptions horizontalCentered="1"/>
  <pageMargins left="0.42" right="0.21" top="1" bottom="1" header="0.5" footer="0.5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82"/>
  <sheetViews>
    <sheetView view="pageBreakPreview" zoomScale="60" zoomScaleNormal="70" workbookViewId="0" topLeftCell="A1">
      <selection activeCell="E75" sqref="E75"/>
    </sheetView>
  </sheetViews>
  <sheetFormatPr defaultColWidth="8.88671875" defaultRowHeight="15" customHeight="1"/>
  <cols>
    <col min="1" max="1" width="2.88671875" style="41" customWidth="1"/>
    <col min="2" max="2" width="2.10546875" style="1" customWidth="1"/>
    <col min="3" max="3" width="52.3359375" style="1" customWidth="1"/>
    <col min="4" max="5" width="19.21484375" style="42" customWidth="1"/>
    <col min="6" max="7" width="7.10546875" style="41" customWidth="1"/>
    <col min="8" max="8" width="10.3359375" style="41" customWidth="1"/>
    <col min="9" max="16384" width="7.10546875" style="41" customWidth="1"/>
  </cols>
  <sheetData>
    <row r="1" spans="1:5" s="1" customFormat="1" ht="18.75" customHeight="1">
      <c r="A1" s="68" t="s">
        <v>176</v>
      </c>
      <c r="D1" s="17"/>
      <c r="E1" s="17"/>
    </row>
    <row r="2" spans="1:5" s="1" customFormat="1" ht="15" customHeight="1">
      <c r="A2" s="3" t="s">
        <v>4</v>
      </c>
      <c r="D2" s="17"/>
      <c r="E2" s="17"/>
    </row>
    <row r="3" spans="1:5" s="1" customFormat="1" ht="15" customHeight="1">
      <c r="A3" s="3"/>
      <c r="D3" s="17"/>
      <c r="E3" s="17"/>
    </row>
    <row r="4" spans="1:5" s="1" customFormat="1" ht="15" customHeight="1">
      <c r="A4" s="3"/>
      <c r="D4" s="17"/>
      <c r="E4" s="17"/>
    </row>
    <row r="5" spans="1:5" s="1" customFormat="1" ht="15" customHeight="1">
      <c r="A5" s="3"/>
      <c r="D5" s="17"/>
      <c r="E5" s="17"/>
    </row>
    <row r="6" spans="1:5" s="1" customFormat="1" ht="15" customHeight="1">
      <c r="A6" s="4" t="s">
        <v>155</v>
      </c>
      <c r="D6" s="17"/>
      <c r="E6" s="17"/>
    </row>
    <row r="7" spans="1:5" s="1" customFormat="1" ht="15" customHeight="1">
      <c r="A7" s="4"/>
      <c r="D7" s="17"/>
      <c r="E7" s="17"/>
    </row>
    <row r="8" spans="1:5" s="1" customFormat="1" ht="15" customHeight="1">
      <c r="A8" s="3"/>
      <c r="D8" s="17"/>
      <c r="E8" s="17"/>
    </row>
    <row r="9" spans="2:5" s="18" customFormat="1" ht="15" customHeight="1">
      <c r="B9" s="4"/>
      <c r="C9" s="4"/>
      <c r="D9" s="105" t="s">
        <v>21</v>
      </c>
      <c r="E9" s="105" t="s">
        <v>21</v>
      </c>
    </row>
    <row r="10" spans="2:5" s="18" customFormat="1" ht="15" customHeight="1">
      <c r="B10" s="20"/>
      <c r="C10" s="4"/>
      <c r="D10" s="106" t="s">
        <v>156</v>
      </c>
      <c r="E10" s="106" t="s">
        <v>55</v>
      </c>
    </row>
    <row r="11" spans="2:5" s="21" customFormat="1" ht="21" customHeight="1">
      <c r="B11" s="4"/>
      <c r="C11" s="22"/>
      <c r="D11" s="105" t="s">
        <v>1</v>
      </c>
      <c r="E11" s="105" t="s">
        <v>1</v>
      </c>
    </row>
    <row r="12" spans="2:6" s="21" customFormat="1" ht="2.25" customHeight="1">
      <c r="B12" s="4"/>
      <c r="C12" s="22"/>
      <c r="D12" s="23"/>
      <c r="E12" s="23"/>
      <c r="F12" s="86"/>
    </row>
    <row r="13" spans="2:6" s="21" customFormat="1" ht="23.25" customHeight="1">
      <c r="B13" s="4" t="s">
        <v>86</v>
      </c>
      <c r="C13" s="22"/>
      <c r="D13" s="23"/>
      <c r="E13" s="23"/>
      <c r="F13" s="86"/>
    </row>
    <row r="14" spans="2:6" s="21" customFormat="1" ht="12.75" customHeight="1">
      <c r="B14" s="4"/>
      <c r="C14" s="150"/>
      <c r="D14" s="23"/>
      <c r="E14" s="23"/>
      <c r="F14" s="86"/>
    </row>
    <row r="15" spans="3:6" s="21" customFormat="1" ht="17.25" customHeight="1">
      <c r="C15" s="4" t="s">
        <v>125</v>
      </c>
      <c r="D15" s="125"/>
      <c r="E15" s="125"/>
      <c r="F15" s="86"/>
    </row>
    <row r="16" spans="1:6" s="26" customFormat="1" ht="15" customHeight="1">
      <c r="A16" s="24"/>
      <c r="C16" s="25" t="s">
        <v>5</v>
      </c>
      <c r="D16" s="126">
        <f>+'[3]MthGpFinResults (USD &amp; RM)'!$O$250</f>
        <v>780918.3143079999</v>
      </c>
      <c r="E16" s="126">
        <v>751335</v>
      </c>
      <c r="F16" s="87"/>
    </row>
    <row r="17" spans="1:6" s="26" customFormat="1" ht="15" customHeight="1">
      <c r="A17" s="24"/>
      <c r="B17" s="25"/>
      <c r="C17" s="25"/>
      <c r="D17" s="127"/>
      <c r="E17" s="127"/>
      <c r="F17" s="87"/>
    </row>
    <row r="18" spans="1:6" s="26" customFormat="1" ht="15" customHeight="1">
      <c r="A18" s="24"/>
      <c r="C18" s="25" t="s">
        <v>53</v>
      </c>
      <c r="D18" s="127">
        <f>+'[3]MthGpFinResults (USD &amp; RM)'!$O$252</f>
        <v>196973.18354630002</v>
      </c>
      <c r="E18" s="127">
        <v>183405</v>
      </c>
      <c r="F18" s="87"/>
    </row>
    <row r="19" spans="1:6" s="26" customFormat="1" ht="15" customHeight="1">
      <c r="A19" s="24"/>
      <c r="B19" s="25"/>
      <c r="C19" s="25"/>
      <c r="D19" s="127"/>
      <c r="E19" s="127"/>
      <c r="F19" s="87"/>
    </row>
    <row r="20" spans="1:6" s="26" customFormat="1" ht="15" customHeight="1">
      <c r="A20" s="24"/>
      <c r="C20" s="25" t="s">
        <v>52</v>
      </c>
      <c r="D20" s="127">
        <f>+'[3]MthGpFinResults (USD &amp; RM)'!$O$253</f>
        <v>452241.7598899999</v>
      </c>
      <c r="E20" s="127">
        <v>484205</v>
      </c>
      <c r="F20" s="87"/>
    </row>
    <row r="21" spans="1:6" s="26" customFormat="1" ht="15" customHeight="1">
      <c r="A21" s="24"/>
      <c r="C21" s="25"/>
      <c r="D21" s="127"/>
      <c r="E21" s="127"/>
      <c r="F21" s="87"/>
    </row>
    <row r="22" spans="1:6" s="26" customFormat="1" ht="15" customHeight="1">
      <c r="A22" s="24"/>
      <c r="C22" s="25" t="s">
        <v>146</v>
      </c>
      <c r="D22" s="127">
        <f>+'[3]MthGpFinResults (USD &amp; RM)'!$O$254</f>
        <v>5.979819999999999</v>
      </c>
      <c r="E22" s="127">
        <v>39</v>
      </c>
      <c r="F22" s="87"/>
    </row>
    <row r="23" spans="1:6" s="26" customFormat="1" ht="15" customHeight="1">
      <c r="A23" s="24"/>
      <c r="C23" s="25"/>
      <c r="D23" s="127"/>
      <c r="E23" s="127"/>
      <c r="F23" s="87"/>
    </row>
    <row r="24" spans="1:6" s="26" customFormat="1" ht="15" customHeight="1">
      <c r="A24" s="24"/>
      <c r="C24" s="25" t="s">
        <v>157</v>
      </c>
      <c r="D24" s="127">
        <f>+'[3]MthGpFinResults (USD &amp; RM)'!$O$255</f>
        <v>7.8224800000000005</v>
      </c>
      <c r="E24" s="127">
        <v>0</v>
      </c>
      <c r="F24" s="87"/>
    </row>
    <row r="25" spans="1:6" s="26" customFormat="1" ht="15" customHeight="1">
      <c r="A25" s="24"/>
      <c r="B25" s="4"/>
      <c r="C25" s="25"/>
      <c r="D25" s="128"/>
      <c r="E25" s="128"/>
      <c r="F25" s="87"/>
    </row>
    <row r="26" spans="1:6" s="26" customFormat="1" ht="15" customHeight="1">
      <c r="A26" s="24"/>
      <c r="B26" s="4"/>
      <c r="D26" s="129">
        <f>SUM(D16:D25)</f>
        <v>1430147.0600443</v>
      </c>
      <c r="E26" s="129">
        <f>SUM(E16:E22)</f>
        <v>1418984</v>
      </c>
      <c r="F26" s="87"/>
    </row>
    <row r="27" spans="1:6" s="26" customFormat="1" ht="15" customHeight="1">
      <c r="A27" s="24"/>
      <c r="B27" s="4"/>
      <c r="C27" s="25"/>
      <c r="D27" s="130"/>
      <c r="E27" s="130"/>
      <c r="F27" s="87"/>
    </row>
    <row r="28" spans="1:6" s="26" customFormat="1" ht="15" customHeight="1">
      <c r="A28" s="24"/>
      <c r="C28" s="4" t="s">
        <v>6</v>
      </c>
      <c r="D28" s="10"/>
      <c r="E28" s="10"/>
      <c r="F28" s="87"/>
    </row>
    <row r="29" spans="1:8" s="26" customFormat="1" ht="15" customHeight="1">
      <c r="A29" s="24"/>
      <c r="B29" s="25"/>
      <c r="C29" s="25" t="s">
        <v>7</v>
      </c>
      <c r="D29" s="28">
        <v>0</v>
      </c>
      <c r="E29" s="28">
        <v>100977</v>
      </c>
      <c r="F29" s="87"/>
      <c r="H29" s="30"/>
    </row>
    <row r="30" spans="1:8" s="26" customFormat="1" ht="15" customHeight="1">
      <c r="A30" s="24"/>
      <c r="B30" s="25"/>
      <c r="C30" s="25" t="s">
        <v>18</v>
      </c>
      <c r="D30" s="31">
        <f>+'[3]MthGpFinResults (USD &amp; RM)'!$O$267+'[3]MthGpFinResults (USD &amp; RM)'!$O$268+'[3]MthGpFinResults (USD &amp; RM)'!$O$271</f>
        <v>238811.04988502697</v>
      </c>
      <c r="E30" s="31">
        <v>145625</v>
      </c>
      <c r="F30" s="87"/>
      <c r="H30" s="30"/>
    </row>
    <row r="31" spans="1:8" s="26" customFormat="1" ht="15" customHeight="1">
      <c r="A31" s="24"/>
      <c r="B31" s="25"/>
      <c r="C31" s="25" t="s">
        <v>24</v>
      </c>
      <c r="D31" s="31">
        <v>0</v>
      </c>
      <c r="E31" s="31">
        <v>163</v>
      </c>
      <c r="F31" s="87"/>
      <c r="H31" s="30"/>
    </row>
    <row r="32" spans="1:6" s="26" customFormat="1" ht="15" customHeight="1">
      <c r="A32" s="24"/>
      <c r="B32" s="25"/>
      <c r="C32" s="25" t="s">
        <v>133</v>
      </c>
      <c r="D32" s="31">
        <f>+'[3]MthGpFinResults (USD &amp; RM)'!$O$275</f>
        <v>45932.51179</v>
      </c>
      <c r="E32" s="31">
        <v>98804</v>
      </c>
      <c r="F32" s="87"/>
    </row>
    <row r="33" spans="1:6" s="26" customFormat="1" ht="15" customHeight="1">
      <c r="A33" s="24"/>
      <c r="B33" s="25"/>
      <c r="C33" s="25" t="s">
        <v>15</v>
      </c>
      <c r="D33" s="33">
        <f>+'[3]MthGpFinResults (USD &amp; RM)'!$O$276</f>
        <v>49813.256566699994</v>
      </c>
      <c r="E33" s="33">
        <v>59630</v>
      </c>
      <c r="F33" s="87"/>
    </row>
    <row r="34" spans="1:6" s="26" customFormat="1" ht="15" customHeight="1">
      <c r="A34" s="24"/>
      <c r="B34" s="25"/>
      <c r="C34" s="25"/>
      <c r="D34" s="10">
        <f>SUM(D29:D33)</f>
        <v>334556.81824172696</v>
      </c>
      <c r="E34" s="10">
        <f>SUM(E29:E33)</f>
        <v>405199</v>
      </c>
      <c r="F34" s="87"/>
    </row>
    <row r="35" spans="1:6" s="26" customFormat="1" ht="15" customHeight="1">
      <c r="A35" s="24"/>
      <c r="B35" s="25"/>
      <c r="C35" s="25"/>
      <c r="D35" s="27"/>
      <c r="E35" s="27"/>
      <c r="F35" s="87"/>
    </row>
    <row r="36" spans="1:6" s="26" customFormat="1" ht="15" customHeight="1" thickBot="1">
      <c r="A36" s="24"/>
      <c r="B36" s="25"/>
      <c r="C36" s="4" t="s">
        <v>84</v>
      </c>
      <c r="D36" s="34">
        <f>+D26+D34</f>
        <v>1764703.878286027</v>
      </c>
      <c r="E36" s="34">
        <f>+E26+E34</f>
        <v>1824183</v>
      </c>
      <c r="F36" s="87"/>
    </row>
    <row r="37" spans="1:6" s="26" customFormat="1" ht="15" customHeight="1" thickTop="1">
      <c r="A37" s="24"/>
      <c r="B37" s="25"/>
      <c r="C37" s="25"/>
      <c r="D37" s="5"/>
      <c r="E37" s="5"/>
      <c r="F37" s="87"/>
    </row>
    <row r="38" spans="1:6" s="26" customFormat="1" ht="21.75" customHeight="1">
      <c r="A38" s="24"/>
      <c r="B38" s="4" t="s">
        <v>85</v>
      </c>
      <c r="C38" s="25"/>
      <c r="D38" s="27"/>
      <c r="E38" s="27"/>
      <c r="F38" s="87"/>
    </row>
    <row r="39" spans="1:6" s="26" customFormat="1" ht="15" customHeight="1">
      <c r="A39" s="24"/>
      <c r="B39" s="4"/>
      <c r="C39" s="25"/>
      <c r="D39" s="27"/>
      <c r="E39" s="27"/>
      <c r="F39" s="87"/>
    </row>
    <row r="40" spans="1:6" s="26" customFormat="1" ht="15" customHeight="1">
      <c r="A40" s="24"/>
      <c r="B40" s="4" t="s">
        <v>99</v>
      </c>
      <c r="C40" s="25"/>
      <c r="D40" s="27"/>
      <c r="E40" s="27"/>
      <c r="F40" s="87"/>
    </row>
    <row r="41" spans="1:6" s="26" customFormat="1" ht="15" customHeight="1">
      <c r="A41" s="24"/>
      <c r="B41" s="4"/>
      <c r="C41" s="25"/>
      <c r="D41" s="27"/>
      <c r="E41" s="27"/>
      <c r="F41" s="87"/>
    </row>
    <row r="42" spans="1:7" s="26" customFormat="1" ht="15" customHeight="1">
      <c r="A42" s="24"/>
      <c r="B42" s="25"/>
      <c r="C42" s="25" t="s">
        <v>100</v>
      </c>
      <c r="D42" s="27">
        <f>+'[3]MthGpFinResults (USD &amp; RM)'!$O$304</f>
        <v>733008.7541559</v>
      </c>
      <c r="E42" s="27">
        <v>587913</v>
      </c>
      <c r="F42" s="87"/>
      <c r="G42" s="30"/>
    </row>
    <row r="43" spans="1:6" s="26" customFormat="1" ht="15" customHeight="1">
      <c r="A43" s="24"/>
      <c r="B43" s="25"/>
      <c r="C43" s="25" t="s">
        <v>102</v>
      </c>
      <c r="D43" s="27">
        <v>0</v>
      </c>
      <c r="E43" s="27">
        <v>1600</v>
      </c>
      <c r="F43" s="87"/>
    </row>
    <row r="44" spans="1:6" s="26" customFormat="1" ht="15" customHeight="1">
      <c r="A44" s="24"/>
      <c r="B44" s="25"/>
      <c r="C44" s="25" t="s">
        <v>101</v>
      </c>
      <c r="D44" s="27">
        <f>+'[3]MthGpFinResults (USD &amp; RM)'!$O$306</f>
        <v>121913.01113</v>
      </c>
      <c r="E44" s="27">
        <v>259329</v>
      </c>
      <c r="F44" s="146"/>
    </row>
    <row r="45" spans="1:6" s="26" customFormat="1" ht="15" customHeight="1">
      <c r="A45" s="24"/>
      <c r="B45" s="25"/>
      <c r="C45" s="25" t="s">
        <v>103</v>
      </c>
      <c r="D45" s="27">
        <f>+'[3]MthGpFinResults (USD &amp; RM)'!$O$310</f>
        <v>-55203.684386822235</v>
      </c>
      <c r="E45" s="27">
        <v>0</v>
      </c>
      <c r="F45" s="87"/>
    </row>
    <row r="46" spans="1:6" s="26" customFormat="1" ht="15" customHeight="1">
      <c r="A46" s="24"/>
      <c r="B46" s="25"/>
      <c r="C46" s="26" t="s">
        <v>104</v>
      </c>
      <c r="D46" s="12">
        <f>+'[3]MthGpFinResults (USD &amp; RM)'!$O$308</f>
        <v>1365.9992908</v>
      </c>
      <c r="E46" s="118">
        <v>0</v>
      </c>
      <c r="F46" s="116"/>
    </row>
    <row r="47" spans="1:6" s="26" customFormat="1" ht="15" customHeight="1">
      <c r="A47" s="24"/>
      <c r="B47" s="25"/>
      <c r="C47" s="25" t="s">
        <v>128</v>
      </c>
      <c r="D47" s="11">
        <f>ROUNDDOWN('[3]MthGpFinResults (USD &amp; RM)'!$O$311,0)</f>
        <v>102726</v>
      </c>
      <c r="E47" s="11">
        <v>37185</v>
      </c>
      <c r="F47" s="87"/>
    </row>
    <row r="48" spans="1:6" s="26" customFormat="1" ht="15" customHeight="1">
      <c r="A48" s="24"/>
      <c r="B48" s="25"/>
      <c r="C48" s="4" t="s">
        <v>90</v>
      </c>
      <c r="D48" s="27"/>
      <c r="E48" s="27"/>
      <c r="F48" s="87"/>
    </row>
    <row r="49" spans="1:6" s="26" customFormat="1" ht="15" customHeight="1">
      <c r="A49" s="24"/>
      <c r="B49" s="25"/>
      <c r="C49" s="4" t="s">
        <v>89</v>
      </c>
      <c r="D49" s="27">
        <f>SUM(D42:D47)</f>
        <v>903810.0801898777</v>
      </c>
      <c r="E49" s="27">
        <f>SUM(E42:E47)</f>
        <v>886027</v>
      </c>
      <c r="F49" s="87"/>
    </row>
    <row r="50" spans="1:6" s="26" customFormat="1" ht="15" customHeight="1">
      <c r="A50" s="24"/>
      <c r="B50" s="25"/>
      <c r="C50" s="25"/>
      <c r="D50" s="27"/>
      <c r="E50" s="27"/>
      <c r="F50" s="87"/>
    </row>
    <row r="51" spans="1:6" s="26" customFormat="1" ht="15" customHeight="1">
      <c r="A51" s="24"/>
      <c r="B51" s="25"/>
      <c r="C51" s="25" t="s">
        <v>134</v>
      </c>
      <c r="D51" s="27">
        <f>+'[3]MthGpFinResults (USD &amp; RM)'!$O$314</f>
        <v>52068.16966195894</v>
      </c>
      <c r="E51" s="27">
        <v>55249</v>
      </c>
      <c r="F51" s="87"/>
    </row>
    <row r="52" spans="1:6" s="26" customFormat="1" ht="15" customHeight="1">
      <c r="A52" s="24"/>
      <c r="B52" s="25"/>
      <c r="C52" s="25"/>
      <c r="D52" s="11"/>
      <c r="E52" s="11"/>
      <c r="F52" s="87"/>
    </row>
    <row r="53" spans="1:6" s="26" customFormat="1" ht="15" customHeight="1">
      <c r="A53" s="24"/>
      <c r="B53" s="25"/>
      <c r="C53" s="25" t="s">
        <v>80</v>
      </c>
      <c r="D53" s="10">
        <f>+D49+D51</f>
        <v>955878.2498518366</v>
      </c>
      <c r="E53" s="10">
        <f>+E49+E51</f>
        <v>941276</v>
      </c>
      <c r="F53" s="87"/>
    </row>
    <row r="54" spans="1:6" s="26" customFormat="1" ht="15" customHeight="1">
      <c r="A54" s="24"/>
      <c r="B54" s="25"/>
      <c r="C54" s="25"/>
      <c r="D54" s="27"/>
      <c r="E54" s="27"/>
      <c r="F54" s="87"/>
    </row>
    <row r="55" spans="1:6" s="26" customFormat="1" ht="15" customHeight="1">
      <c r="A55" s="24"/>
      <c r="B55" s="4" t="s">
        <v>81</v>
      </c>
      <c r="C55" s="25"/>
      <c r="D55" s="10"/>
      <c r="E55" s="10"/>
      <c r="F55" s="87"/>
    </row>
    <row r="56" spans="1:6" s="26" customFormat="1" ht="15" customHeight="1">
      <c r="A56" s="24"/>
      <c r="B56" s="4"/>
      <c r="C56" s="25"/>
      <c r="D56" s="10"/>
      <c r="E56" s="10"/>
      <c r="F56" s="87"/>
    </row>
    <row r="57" spans="1:6" s="26" customFormat="1" ht="15" customHeight="1">
      <c r="A57" s="24"/>
      <c r="B57" s="4"/>
      <c r="C57" s="4" t="s">
        <v>126</v>
      </c>
      <c r="D57" s="10"/>
      <c r="E57" s="10"/>
      <c r="F57" s="87"/>
    </row>
    <row r="58" spans="1:6" s="26" customFormat="1" ht="15" customHeight="1">
      <c r="A58" s="24"/>
      <c r="B58" s="4"/>
      <c r="C58" s="25" t="s">
        <v>105</v>
      </c>
      <c r="D58" s="29">
        <v>0</v>
      </c>
      <c r="E58" s="29">
        <f>108759</f>
        <v>108759</v>
      </c>
      <c r="F58" s="87"/>
    </row>
    <row r="59" spans="1:7" s="26" customFormat="1" ht="15" customHeight="1">
      <c r="A59" s="24"/>
      <c r="C59" s="25" t="s">
        <v>10</v>
      </c>
      <c r="D59" s="32">
        <f>ROUNDUP('[3]MthGpFinResults (USD &amp; RM)'!$O$316+'[3]MthGpFinResults (USD &amp; RM)'!$O$317,0)</f>
        <v>466751</v>
      </c>
      <c r="E59" s="32">
        <f>547283+129</f>
        <v>547412</v>
      </c>
      <c r="F59" s="87"/>
      <c r="G59" s="30"/>
    </row>
    <row r="60" spans="1:7" s="26" customFormat="1" ht="15" customHeight="1">
      <c r="A60" s="24"/>
      <c r="C60" s="25" t="s">
        <v>135</v>
      </c>
      <c r="D60" s="32">
        <f>+'[3]MthGpFinResults (USD &amp; RM)'!$O$321</f>
        <v>0</v>
      </c>
      <c r="E60" s="32">
        <v>1420</v>
      </c>
      <c r="F60" s="87"/>
      <c r="G60" s="30"/>
    </row>
    <row r="61" spans="1:6" s="26" customFormat="1" ht="15" customHeight="1">
      <c r="A61" s="24"/>
      <c r="C61" s="25" t="s">
        <v>95</v>
      </c>
      <c r="D61" s="33">
        <f>+'[3]MthGpFinResults (USD &amp; RM)'!$O$322</f>
        <v>2111.584578</v>
      </c>
      <c r="E61" s="33">
        <v>1174</v>
      </c>
      <c r="F61" s="87"/>
    </row>
    <row r="62" spans="1:6" s="26" customFormat="1" ht="15" customHeight="1">
      <c r="A62" s="24"/>
      <c r="D62" s="27">
        <f>SUM(D58:D61)</f>
        <v>468862.584578</v>
      </c>
      <c r="E62" s="27">
        <f>SUM(E58:E61)</f>
        <v>658765</v>
      </c>
      <c r="F62" s="87"/>
    </row>
    <row r="63" spans="1:6" s="26" customFormat="1" ht="15" customHeight="1">
      <c r="A63" s="24"/>
      <c r="D63" s="27"/>
      <c r="E63" s="27"/>
      <c r="F63" s="87"/>
    </row>
    <row r="64" spans="1:6" s="26" customFormat="1" ht="15" customHeight="1">
      <c r="A64" s="24"/>
      <c r="B64" s="4"/>
      <c r="C64" s="4" t="s">
        <v>127</v>
      </c>
      <c r="D64" s="10"/>
      <c r="E64" s="10"/>
      <c r="F64" s="87"/>
    </row>
    <row r="65" spans="1:7" s="26" customFormat="1" ht="15" customHeight="1">
      <c r="A65" s="24"/>
      <c r="B65" s="25"/>
      <c r="C65" s="25" t="s">
        <v>19</v>
      </c>
      <c r="D65" s="28">
        <f>ROUNDDOWN(+'[3]MthGpFinResults (USD &amp; RM)'!$O$281+'[3]MthGpFinResults (USD &amp; RM)'!$O$282+'[3]MthGpFinResults (USD &amp; RM)'!$O$284+'[3]MthGpFinResults (USD &amp; RM)'!$O$285+'[3]MthGpFinResults (USD &amp; RM)'!$O$287+'[3]MthGpFinResults (USD &amp; RM)'!$O$288,0)</f>
        <v>279096</v>
      </c>
      <c r="E65" s="28">
        <v>119694</v>
      </c>
      <c r="F65" s="87"/>
      <c r="G65" s="30"/>
    </row>
    <row r="66" spans="1:7" s="26" customFormat="1" ht="15" customHeight="1">
      <c r="A66" s="24"/>
      <c r="B66" s="25"/>
      <c r="C66" s="25" t="s">
        <v>8</v>
      </c>
      <c r="D66" s="32">
        <f>ROUNDUP(+'[3]MthGpFinResults (USD &amp; RM)'!$O$291+'[3]MthGpFinResults (USD &amp; RM)'!$O$292+'[3]MthGpFinResults (USD &amp; RM)'!$O$294,0)</f>
        <v>56129</v>
      </c>
      <c r="E66" s="32">
        <f>10067+84122+43+8197</f>
        <v>102429</v>
      </c>
      <c r="F66" s="87"/>
      <c r="G66" s="30"/>
    </row>
    <row r="67" spans="1:7" s="26" customFormat="1" ht="15" customHeight="1">
      <c r="A67" s="24"/>
      <c r="B67" s="25"/>
      <c r="C67" s="25" t="s">
        <v>41</v>
      </c>
      <c r="D67" s="33">
        <f>+'[3]MthGpFinResults (USD &amp; RM)'!$O$289</f>
        <v>4738.449746132999</v>
      </c>
      <c r="E67" s="33">
        <v>2019</v>
      </c>
      <c r="F67" s="87"/>
      <c r="G67" s="30"/>
    </row>
    <row r="68" spans="1:7" s="26" customFormat="1" ht="15" customHeight="1">
      <c r="A68" s="24"/>
      <c r="B68" s="25"/>
      <c r="C68" s="4"/>
      <c r="D68" s="10">
        <f>SUM(D65:D67)</f>
        <v>339963.449746133</v>
      </c>
      <c r="E68" s="10">
        <f>SUM(E65:E67)</f>
        <v>224142</v>
      </c>
      <c r="F68" s="87"/>
      <c r="G68" s="30"/>
    </row>
    <row r="69" spans="1:7" s="26" customFormat="1" ht="15" customHeight="1">
      <c r="A69" s="24"/>
      <c r="B69" s="25"/>
      <c r="C69" s="25"/>
      <c r="D69" s="10"/>
      <c r="E69" s="10"/>
      <c r="F69" s="87"/>
      <c r="G69" s="30"/>
    </row>
    <row r="70" spans="1:7" s="26" customFormat="1" ht="15" customHeight="1">
      <c r="A70" s="24"/>
      <c r="B70" s="25"/>
      <c r="C70" s="4"/>
      <c r="D70" s="10"/>
      <c r="E70" s="10"/>
      <c r="F70" s="87"/>
      <c r="G70" s="30"/>
    </row>
    <row r="71" spans="1:6" s="18" customFormat="1" ht="15" customHeight="1">
      <c r="A71" s="121"/>
      <c r="B71" s="4"/>
      <c r="C71" s="4" t="s">
        <v>82</v>
      </c>
      <c r="D71" s="124">
        <f>+D68+D62</f>
        <v>808826.0343241331</v>
      </c>
      <c r="E71" s="124">
        <f>+E68+E62</f>
        <v>882907</v>
      </c>
      <c r="F71" s="122"/>
    </row>
    <row r="72" spans="1:6" s="26" customFormat="1" ht="15" customHeight="1">
      <c r="A72" s="24"/>
      <c r="B72" s="25"/>
      <c r="C72" s="25"/>
      <c r="D72" s="27"/>
      <c r="E72" s="27"/>
      <c r="F72" s="87"/>
    </row>
    <row r="73" spans="1:6" s="18" customFormat="1" ht="15" customHeight="1" thickBot="1">
      <c r="A73" s="121"/>
      <c r="B73" s="4"/>
      <c r="C73" s="4" t="s">
        <v>83</v>
      </c>
      <c r="D73" s="123">
        <f>+D53+D71</f>
        <v>1764704.2841759697</v>
      </c>
      <c r="E73" s="123">
        <f>+E53+E71</f>
        <v>1824183</v>
      </c>
      <c r="F73" s="122"/>
    </row>
    <row r="74" spans="1:6" s="26" customFormat="1" ht="15" customHeight="1" thickTop="1">
      <c r="A74" s="24"/>
      <c r="B74" s="25"/>
      <c r="C74" s="25"/>
      <c r="D74" s="27"/>
      <c r="E74" s="27"/>
      <c r="F74" s="87"/>
    </row>
    <row r="75" spans="1:6" s="39" customFormat="1" ht="15" customHeight="1" thickBot="1">
      <c r="A75" s="35"/>
      <c r="B75" s="36" t="s">
        <v>79</v>
      </c>
      <c r="C75" s="37"/>
      <c r="D75" s="38">
        <f>+D49/D42</f>
        <v>1.2330140330051922</v>
      </c>
      <c r="E75" s="38">
        <f>+E49/E42</f>
        <v>1.507071624543087</v>
      </c>
      <c r="F75" s="88"/>
    </row>
    <row r="76" spans="2:6" s="26" customFormat="1" ht="15" customHeight="1" thickTop="1">
      <c r="B76" s="12"/>
      <c r="C76" s="12"/>
      <c r="D76" s="40"/>
      <c r="E76" s="40"/>
      <c r="F76" s="87"/>
    </row>
    <row r="78" spans="1:5" s="1" customFormat="1" ht="36.75" customHeight="1">
      <c r="A78" s="89"/>
      <c r="B78" s="169" t="s">
        <v>63</v>
      </c>
      <c r="C78" s="170"/>
      <c r="D78" s="170"/>
      <c r="E78" s="170"/>
    </row>
    <row r="79" spans="1:5" s="1" customFormat="1" ht="15" customHeight="1">
      <c r="A79" s="90"/>
      <c r="B79" s="91"/>
      <c r="C79" s="91"/>
      <c r="D79" s="117"/>
      <c r="E79" s="91"/>
    </row>
    <row r="80" spans="2:15" s="69" customFormat="1" ht="15" customHeight="1">
      <c r="B80" s="152" t="s">
        <v>129</v>
      </c>
      <c r="C80" s="14"/>
      <c r="D80" s="14"/>
      <c r="E80" s="15"/>
      <c r="F80" s="15"/>
      <c r="G80" s="56"/>
      <c r="I80" s="16"/>
      <c r="K80" s="56"/>
      <c r="L80" s="56"/>
      <c r="M80" s="56"/>
      <c r="N80" s="56"/>
      <c r="O80" s="71"/>
    </row>
    <row r="81" spans="1:5" s="1" customFormat="1" ht="15" customHeight="1">
      <c r="A81" s="43"/>
      <c r="D81" s="17"/>
      <c r="E81" s="17"/>
    </row>
    <row r="82" spans="3:5" ht="15" customHeight="1">
      <c r="C82" s="1" t="s">
        <v>23</v>
      </c>
      <c r="D82" s="44">
        <f>+D73-D36</f>
        <v>0.40588994277641177</v>
      </c>
      <c r="E82" s="44">
        <f>+E73-E36</f>
        <v>0</v>
      </c>
    </row>
  </sheetData>
  <mergeCells count="1">
    <mergeCell ref="B78:E78"/>
  </mergeCells>
  <printOptions/>
  <pageMargins left="0.58" right="0.28" top="0.55" bottom="0.5" header="0.32" footer="0.25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27.3359375" style="42" customWidth="1"/>
    <col min="2" max="2" width="23.5546875" style="42" customWidth="1"/>
    <col min="3" max="3" width="12.5546875" style="42" customWidth="1"/>
    <col min="4" max="4" width="2.5546875" style="42" customWidth="1"/>
    <col min="5" max="5" width="19.10546875" style="42" customWidth="1"/>
    <col min="6" max="6" width="2.5546875" style="42" customWidth="1"/>
    <col min="7" max="7" width="12.6640625" style="42" customWidth="1"/>
    <col min="8" max="8" width="2.5546875" style="42" customWidth="1"/>
    <col min="9" max="9" width="2.5546875" style="42" hidden="1" customWidth="1"/>
    <col min="10" max="10" width="12.10546875" style="42" customWidth="1"/>
    <col min="11" max="11" width="2.6640625" style="42" customWidth="1"/>
    <col min="12" max="12" width="12.6640625" style="42" customWidth="1"/>
    <col min="13" max="13" width="2.6640625" style="42" customWidth="1"/>
    <col min="14" max="14" width="12.6640625" style="42" customWidth="1"/>
    <col min="15" max="15" width="2.6640625" style="42" customWidth="1"/>
    <col min="16" max="16" width="14.99609375" style="42" customWidth="1"/>
    <col min="17" max="17" width="2.6640625" style="42" customWidth="1"/>
    <col min="18" max="18" width="22.10546875" style="42" customWidth="1"/>
    <col min="19" max="19" width="3.5546875" style="113" customWidth="1"/>
    <col min="20" max="20" width="13.21484375" style="42" customWidth="1"/>
    <col min="21" max="21" width="9.77734375" style="42" customWidth="1"/>
    <col min="22" max="16384" width="7.10546875" style="42" customWidth="1"/>
  </cols>
  <sheetData>
    <row r="1" spans="1:11" ht="18">
      <c r="A1" s="68" t="s">
        <v>176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1:11" ht="12.7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>
      <c r="A6" s="54" t="s">
        <v>37</v>
      </c>
      <c r="B6" s="54"/>
      <c r="C6" s="53"/>
      <c r="D6" s="53"/>
      <c r="E6" s="53"/>
      <c r="F6" s="53"/>
      <c r="G6" s="53"/>
      <c r="H6" s="53"/>
      <c r="I6" s="53"/>
      <c r="J6" s="53"/>
      <c r="K6" s="53"/>
    </row>
    <row r="7" spans="1:11" ht="15">
      <c r="A7" s="54" t="s">
        <v>158</v>
      </c>
      <c r="B7" s="54"/>
      <c r="C7" s="53"/>
      <c r="D7" s="53"/>
      <c r="E7" s="53"/>
      <c r="F7" s="53"/>
      <c r="G7" s="53"/>
      <c r="H7" s="53"/>
      <c r="I7" s="53"/>
      <c r="J7" s="53"/>
      <c r="K7" s="53"/>
    </row>
    <row r="10" spans="16:19" s="55" customFormat="1" ht="15">
      <c r="P10" s="54" t="s">
        <v>106</v>
      </c>
      <c r="S10" s="102"/>
    </row>
    <row r="11" spans="6:19" s="55" customFormat="1" ht="15">
      <c r="F11" s="54" t="s">
        <v>76</v>
      </c>
      <c r="N11" s="54" t="s">
        <v>77</v>
      </c>
      <c r="P11" s="54" t="s">
        <v>107</v>
      </c>
      <c r="S11" s="102"/>
    </row>
    <row r="12" ht="15">
      <c r="P12" s="54" t="s">
        <v>108</v>
      </c>
    </row>
    <row r="13" spans="3:21" s="55" customFormat="1" ht="15">
      <c r="C13" s="101"/>
      <c r="D13" s="101"/>
      <c r="E13" s="103" t="s">
        <v>47</v>
      </c>
      <c r="F13" s="101"/>
      <c r="G13" s="101"/>
      <c r="H13" s="101"/>
      <c r="I13" s="101"/>
      <c r="J13" s="103" t="s">
        <v>64</v>
      </c>
      <c r="K13" s="101"/>
      <c r="L13" s="101"/>
      <c r="M13" s="101"/>
      <c r="N13" s="101"/>
      <c r="O13" s="101"/>
      <c r="P13" s="103"/>
      <c r="Q13" s="101"/>
      <c r="R13" s="101"/>
      <c r="S13" s="101"/>
      <c r="T13" s="101"/>
      <c r="U13" s="102"/>
    </row>
    <row r="14" spans="3:21" s="55" customFormat="1" ht="15">
      <c r="C14" s="103" t="s">
        <v>44</v>
      </c>
      <c r="D14" s="101"/>
      <c r="E14" s="103" t="s">
        <v>51</v>
      </c>
      <c r="F14" s="101"/>
      <c r="G14" s="103" t="s">
        <v>46</v>
      </c>
      <c r="H14" s="101"/>
      <c r="I14" s="101"/>
      <c r="J14" s="103" t="s">
        <v>65</v>
      </c>
      <c r="K14" s="101"/>
      <c r="L14" s="103" t="s">
        <v>71</v>
      </c>
      <c r="M14" s="101"/>
      <c r="N14" s="103" t="s">
        <v>12</v>
      </c>
      <c r="O14" s="101"/>
      <c r="Q14" s="101"/>
      <c r="S14" s="102"/>
      <c r="T14" s="103" t="s">
        <v>0</v>
      </c>
      <c r="U14" s="102"/>
    </row>
    <row r="15" spans="3:21" s="55" customFormat="1" ht="15">
      <c r="C15" s="103" t="s">
        <v>45</v>
      </c>
      <c r="D15" s="104"/>
      <c r="E15" s="103" t="s">
        <v>48</v>
      </c>
      <c r="F15" s="104"/>
      <c r="G15" s="103" t="s">
        <v>58</v>
      </c>
      <c r="H15" s="104"/>
      <c r="I15" s="104"/>
      <c r="J15" s="103" t="s">
        <v>66</v>
      </c>
      <c r="K15" s="104"/>
      <c r="L15" s="103" t="s">
        <v>9</v>
      </c>
      <c r="M15" s="104"/>
      <c r="N15" s="103" t="s">
        <v>14</v>
      </c>
      <c r="O15" s="104"/>
      <c r="P15" s="103" t="s">
        <v>0</v>
      </c>
      <c r="Q15" s="104"/>
      <c r="R15" s="103" t="s">
        <v>98</v>
      </c>
      <c r="S15" s="103"/>
      <c r="T15" s="120" t="s">
        <v>75</v>
      </c>
      <c r="U15" s="102"/>
    </row>
    <row r="16" spans="3:21" s="55" customFormat="1" ht="15">
      <c r="C16" s="103" t="s">
        <v>59</v>
      </c>
      <c r="D16" s="101"/>
      <c r="E16" s="103" t="s">
        <v>59</v>
      </c>
      <c r="F16" s="101"/>
      <c r="G16" s="103" t="s">
        <v>59</v>
      </c>
      <c r="H16" s="101"/>
      <c r="I16" s="101"/>
      <c r="J16" s="103" t="s">
        <v>59</v>
      </c>
      <c r="K16" s="101"/>
      <c r="L16" s="103" t="s">
        <v>59</v>
      </c>
      <c r="M16" s="101"/>
      <c r="N16" s="103" t="s">
        <v>59</v>
      </c>
      <c r="O16" s="101"/>
      <c r="P16" s="103" t="s">
        <v>59</v>
      </c>
      <c r="Q16" s="101"/>
      <c r="R16" s="103" t="s">
        <v>59</v>
      </c>
      <c r="S16" s="103"/>
      <c r="T16" s="103" t="s">
        <v>59</v>
      </c>
      <c r="U16" s="102"/>
    </row>
    <row r="17" spans="3:21" s="55" customFormat="1" ht="1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</row>
    <row r="18" spans="1:20" s="55" customFormat="1" ht="15">
      <c r="A18" s="54" t="s">
        <v>61</v>
      </c>
      <c r="C18" s="56">
        <v>587913</v>
      </c>
      <c r="D18" s="56"/>
      <c r="E18" s="56">
        <v>1600</v>
      </c>
      <c r="F18" s="56"/>
      <c r="G18" s="56">
        <v>259329</v>
      </c>
      <c r="H18" s="56"/>
      <c r="I18" s="56"/>
      <c r="J18" s="56">
        <v>0</v>
      </c>
      <c r="K18" s="56"/>
      <c r="L18" s="56">
        <v>0</v>
      </c>
      <c r="M18" s="56"/>
      <c r="N18" s="56">
        <f>'BS'!E47</f>
        <v>37185</v>
      </c>
      <c r="O18" s="56"/>
      <c r="P18" s="56">
        <f>SUM(C18:O18)</f>
        <v>886027</v>
      </c>
      <c r="Q18" s="56"/>
      <c r="R18" s="56">
        <v>55249</v>
      </c>
      <c r="S18" s="16"/>
      <c r="T18" s="56">
        <f>SUM(P18:R18)</f>
        <v>941276</v>
      </c>
    </row>
    <row r="19" spans="1:20" s="55" customFormat="1" ht="15">
      <c r="A19" s="54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16"/>
      <c r="T19" s="56"/>
    </row>
    <row r="20" spans="3:20" s="55" customFormat="1" ht="15">
      <c r="C20" s="56"/>
      <c r="D20" s="56"/>
      <c r="E20" s="56"/>
      <c r="F20" s="56"/>
      <c r="G20" s="56"/>
      <c r="H20" s="56"/>
      <c r="I20" s="56"/>
      <c r="J20" s="56"/>
      <c r="K20" s="57"/>
      <c r="L20" s="58"/>
      <c r="M20" s="57"/>
      <c r="N20" s="58"/>
      <c r="O20" s="57"/>
      <c r="P20" s="56"/>
      <c r="Q20" s="57"/>
      <c r="R20" s="56"/>
      <c r="S20" s="114"/>
      <c r="T20" s="56"/>
    </row>
    <row r="21" spans="1:20" s="55" customFormat="1" ht="15">
      <c r="A21" s="55" t="s">
        <v>91</v>
      </c>
      <c r="C21" s="56"/>
      <c r="D21" s="56"/>
      <c r="E21" s="56"/>
      <c r="F21" s="56"/>
      <c r="G21" s="56"/>
      <c r="H21" s="56"/>
      <c r="I21" s="56"/>
      <c r="J21" s="56"/>
      <c r="K21" s="57"/>
      <c r="L21" s="58"/>
      <c r="M21" s="57"/>
      <c r="N21" s="58"/>
      <c r="O21" s="57"/>
      <c r="P21" s="56"/>
      <c r="Q21" s="57"/>
      <c r="R21" s="56"/>
      <c r="S21" s="114"/>
      <c r="T21" s="56"/>
    </row>
    <row r="22" spans="1:20" s="55" customFormat="1" ht="15">
      <c r="A22" s="55" t="s">
        <v>92</v>
      </c>
      <c r="C22" s="56">
        <v>0</v>
      </c>
      <c r="D22" s="56"/>
      <c r="E22" s="56">
        <v>0</v>
      </c>
      <c r="F22" s="56"/>
      <c r="G22" s="56">
        <f>20-450-158-18-175</f>
        <v>-781</v>
      </c>
      <c r="H22" s="56"/>
      <c r="I22" s="56"/>
      <c r="J22" s="56">
        <v>0</v>
      </c>
      <c r="K22" s="57"/>
      <c r="L22" s="58">
        <v>0</v>
      </c>
      <c r="M22" s="57"/>
      <c r="N22" s="58">
        <v>0</v>
      </c>
      <c r="O22" s="57"/>
      <c r="P22" s="56">
        <f>SUM(C22:O22)</f>
        <v>-781</v>
      </c>
      <c r="Q22" s="57"/>
      <c r="R22" s="56">
        <v>0</v>
      </c>
      <c r="S22" s="114"/>
      <c r="T22" s="56">
        <f>SUM(P22:R22)</f>
        <v>-781</v>
      </c>
    </row>
    <row r="23" spans="3:20" s="55" customFormat="1" ht="15">
      <c r="C23" s="56"/>
      <c r="D23" s="56"/>
      <c r="E23" s="56"/>
      <c r="F23" s="56"/>
      <c r="G23" s="56"/>
      <c r="H23" s="56"/>
      <c r="I23" s="56"/>
      <c r="J23" s="56"/>
      <c r="K23" s="57"/>
      <c r="L23" s="58"/>
      <c r="M23" s="57"/>
      <c r="N23" s="58"/>
      <c r="O23" s="57"/>
      <c r="P23" s="56"/>
      <c r="Q23" s="57"/>
      <c r="R23" s="56"/>
      <c r="S23" s="114"/>
      <c r="T23" s="56"/>
    </row>
    <row r="24" spans="1:20" s="55" customFormat="1" ht="15">
      <c r="A24" s="55" t="s">
        <v>109</v>
      </c>
      <c r="C24" s="57"/>
      <c r="D24" s="57"/>
      <c r="E24" s="56"/>
      <c r="F24" s="57"/>
      <c r="G24" s="57"/>
      <c r="H24" s="57"/>
      <c r="I24" s="57"/>
      <c r="J24" s="56"/>
      <c r="K24" s="57"/>
      <c r="L24" s="58"/>
      <c r="M24" s="57"/>
      <c r="N24" s="58"/>
      <c r="O24" s="57"/>
      <c r="P24" s="56"/>
      <c r="Q24" s="57"/>
      <c r="R24" s="56"/>
      <c r="S24" s="114"/>
      <c r="T24" s="56"/>
    </row>
    <row r="25" spans="1:20" s="55" customFormat="1" ht="15">
      <c r="A25" s="55" t="s">
        <v>113</v>
      </c>
      <c r="C25" s="56"/>
      <c r="D25" s="56"/>
      <c r="E25" s="56"/>
      <c r="F25" s="56"/>
      <c r="G25" s="56"/>
      <c r="H25" s="56"/>
      <c r="I25" s="56"/>
      <c r="J25" s="56"/>
      <c r="K25" s="57"/>
      <c r="L25" s="56"/>
      <c r="M25" s="57"/>
      <c r="N25" s="56"/>
      <c r="O25" s="57"/>
      <c r="P25" s="56"/>
      <c r="Q25" s="57"/>
      <c r="R25" s="56"/>
      <c r="S25" s="16"/>
      <c r="T25" s="56"/>
    </row>
    <row r="26" spans="1:20" s="55" customFormat="1" ht="15">
      <c r="A26" s="55" t="s">
        <v>112</v>
      </c>
      <c r="C26" s="56">
        <v>0</v>
      </c>
      <c r="D26" s="56"/>
      <c r="E26" s="56">
        <v>0</v>
      </c>
      <c r="F26" s="56"/>
      <c r="G26" s="56">
        <v>0</v>
      </c>
      <c r="H26" s="56"/>
      <c r="I26" s="56"/>
      <c r="J26" s="56">
        <f>'BS'!D45</f>
        <v>-55203.684386822235</v>
      </c>
      <c r="K26" s="57"/>
      <c r="L26" s="56">
        <v>0</v>
      </c>
      <c r="M26" s="57"/>
      <c r="N26" s="56">
        <v>0</v>
      </c>
      <c r="O26" s="57"/>
      <c r="P26" s="56">
        <f>SUM(C26:O26)</f>
        <v>-55203.684386822235</v>
      </c>
      <c r="Q26" s="57"/>
      <c r="R26" s="56">
        <f>+'[6]BS'!$H$52+'[6]BS'!$I$52+1</f>
        <v>-3604.0790450160007</v>
      </c>
      <c r="S26" s="16"/>
      <c r="T26" s="56">
        <f>SUM(P26:R26)</f>
        <v>-58807.76343183823</v>
      </c>
    </row>
    <row r="27" spans="3:20" s="55" customFormat="1" ht="15">
      <c r="C27" s="144"/>
      <c r="D27" s="57"/>
      <c r="E27" s="144"/>
      <c r="F27" s="57"/>
      <c r="G27" s="144"/>
      <c r="H27" s="57"/>
      <c r="I27" s="57"/>
      <c r="J27" s="132"/>
      <c r="K27" s="57"/>
      <c r="L27" s="144"/>
      <c r="M27" s="57"/>
      <c r="N27" s="144"/>
      <c r="O27" s="57"/>
      <c r="P27" s="144"/>
      <c r="Q27" s="57"/>
      <c r="R27" s="144"/>
      <c r="S27" s="114"/>
      <c r="T27" s="144"/>
    </row>
    <row r="28" spans="1:20" s="55" customFormat="1" ht="15">
      <c r="A28" s="55" t="s">
        <v>123</v>
      </c>
      <c r="C28" s="145">
        <f>SUM(C21:C27)</f>
        <v>0</v>
      </c>
      <c r="D28" s="57"/>
      <c r="E28" s="145">
        <f>SUM(E21:E27)</f>
        <v>0</v>
      </c>
      <c r="F28" s="57"/>
      <c r="G28" s="149">
        <f>SUM(G21:G27)</f>
        <v>-781</v>
      </c>
      <c r="H28" s="57"/>
      <c r="I28" s="57"/>
      <c r="J28" s="149">
        <f>SUM(J21:J27)</f>
        <v>-55203.684386822235</v>
      </c>
      <c r="K28" s="57"/>
      <c r="L28" s="145">
        <f>SUM(L21:L27)</f>
        <v>0</v>
      </c>
      <c r="M28" s="57"/>
      <c r="N28" s="145">
        <f>SUM(N21:N27)</f>
        <v>0</v>
      </c>
      <c r="O28" s="57"/>
      <c r="P28" s="149">
        <f>SUM(P21:P27)</f>
        <v>-55984.684386822235</v>
      </c>
      <c r="Q28" s="56"/>
      <c r="R28" s="149">
        <f>SUM(R21:R27)</f>
        <v>-3604.0790450160007</v>
      </c>
      <c r="S28" s="114"/>
      <c r="T28" s="149">
        <f>SUM(T21:T27)</f>
        <v>-59588.76343183823</v>
      </c>
    </row>
    <row r="29" spans="3:20" s="55" customFormat="1" ht="15">
      <c r="C29" s="57"/>
      <c r="D29" s="57"/>
      <c r="E29" s="57"/>
      <c r="F29" s="57"/>
      <c r="G29" s="57"/>
      <c r="H29" s="57"/>
      <c r="I29" s="57"/>
      <c r="J29" s="56"/>
      <c r="K29" s="57"/>
      <c r="L29" s="58"/>
      <c r="M29" s="57"/>
      <c r="N29" s="58"/>
      <c r="O29" s="57"/>
      <c r="P29" s="56"/>
      <c r="Q29" s="57"/>
      <c r="R29" s="56"/>
      <c r="S29" s="114"/>
      <c r="T29" s="56"/>
    </row>
    <row r="30" spans="1:20" s="55" customFormat="1" ht="15">
      <c r="A30" s="55" t="s">
        <v>88</v>
      </c>
      <c r="C30" s="56">
        <v>0</v>
      </c>
      <c r="D30" s="56"/>
      <c r="E30" s="56">
        <v>0</v>
      </c>
      <c r="F30" s="56"/>
      <c r="G30" s="56">
        <v>0</v>
      </c>
      <c r="H30" s="56"/>
      <c r="I30" s="56"/>
      <c r="J30" s="56">
        <v>0</v>
      </c>
      <c r="K30" s="56"/>
      <c r="L30" s="56">
        <v>0</v>
      </c>
      <c r="M30" s="56"/>
      <c r="N30" s="56">
        <f>'IS'!F49</f>
        <v>80460</v>
      </c>
      <c r="O30" s="56"/>
      <c r="P30" s="56">
        <f>SUM(C30:O30)</f>
        <v>80460</v>
      </c>
      <c r="Q30" s="56"/>
      <c r="R30" s="56">
        <f>+'IS'!F50</f>
        <v>2239.68581229795</v>
      </c>
      <c r="S30" s="16"/>
      <c r="T30" s="56">
        <f>SUM(P30:R30)</f>
        <v>82699.68581229795</v>
      </c>
    </row>
    <row r="31" spans="3:20" s="55" customFormat="1" ht="1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16"/>
      <c r="T31" s="56"/>
    </row>
    <row r="32" s="55" customFormat="1" ht="15">
      <c r="A32" s="156" t="s">
        <v>49</v>
      </c>
    </row>
    <row r="33" spans="1:20" s="55" customFormat="1" ht="15">
      <c r="A33" s="55" t="s">
        <v>149</v>
      </c>
      <c r="C33" s="56">
        <v>0</v>
      </c>
      <c r="D33" s="56"/>
      <c r="E33" s="56">
        <v>0</v>
      </c>
      <c r="F33" s="56"/>
      <c r="G33" s="56">
        <v>0</v>
      </c>
      <c r="H33" s="56"/>
      <c r="I33" s="56"/>
      <c r="J33" s="56">
        <v>0</v>
      </c>
      <c r="K33" s="56"/>
      <c r="L33" s="58">
        <v>0</v>
      </c>
      <c r="M33" s="56"/>
      <c r="N33" s="56">
        <f>-11013-864</f>
        <v>-11877</v>
      </c>
      <c r="O33" s="56"/>
      <c r="P33" s="56">
        <f>SUM(C33:O33)</f>
        <v>-11877</v>
      </c>
      <c r="Q33" s="56"/>
      <c r="R33" s="56">
        <v>0</v>
      </c>
      <c r="S33" s="16"/>
      <c r="T33" s="56">
        <f>SUM(P33:R33)</f>
        <v>-11877</v>
      </c>
    </row>
    <row r="34" spans="1:20" s="55" customFormat="1" ht="15">
      <c r="A34" s="55" t="s">
        <v>150</v>
      </c>
      <c r="C34" s="56"/>
      <c r="D34" s="56"/>
      <c r="E34" s="56"/>
      <c r="F34" s="56"/>
      <c r="G34" s="56"/>
      <c r="H34" s="56"/>
      <c r="I34" s="56"/>
      <c r="J34" s="56"/>
      <c r="K34" s="56"/>
      <c r="L34" s="58"/>
      <c r="M34" s="56"/>
      <c r="N34" s="56">
        <f>-3906+864</f>
        <v>-3042</v>
      </c>
      <c r="O34" s="56"/>
      <c r="P34" s="56">
        <f>SUM(C34:O34)</f>
        <v>-3042</v>
      </c>
      <c r="Q34" s="56"/>
      <c r="R34" s="56">
        <v>0</v>
      </c>
      <c r="S34" s="16"/>
      <c r="T34" s="56">
        <f>SUM(P34:R34)</f>
        <v>-3042</v>
      </c>
    </row>
    <row r="35" spans="1:20" s="55" customFormat="1" ht="15">
      <c r="A35" s="55" t="s">
        <v>162</v>
      </c>
      <c r="C35" s="56"/>
      <c r="D35" s="56"/>
      <c r="E35" s="56"/>
      <c r="F35" s="56"/>
      <c r="G35" s="56"/>
      <c r="H35" s="56"/>
      <c r="I35" s="56"/>
      <c r="J35" s="56"/>
      <c r="K35" s="56"/>
      <c r="L35" s="58"/>
      <c r="M35" s="56"/>
      <c r="N35" s="56"/>
      <c r="O35" s="56"/>
      <c r="P35" s="56">
        <f>SUM(C35:O35)</f>
        <v>0</v>
      </c>
      <c r="Q35" s="56"/>
      <c r="R35" s="56">
        <f>ROUNDUP(-757*3.65+17*3.53,0)</f>
        <v>-2704</v>
      </c>
      <c r="S35" s="16"/>
      <c r="T35" s="56">
        <f>SUM(P35:R35)</f>
        <v>-2704</v>
      </c>
    </row>
    <row r="36" spans="3:20" s="55" customFormat="1" ht="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O36" s="56"/>
      <c r="P36" s="56"/>
      <c r="Q36" s="56"/>
      <c r="R36" s="56"/>
      <c r="S36" s="16"/>
      <c r="T36" s="56"/>
    </row>
    <row r="37" spans="1:20" s="55" customFormat="1" ht="15">
      <c r="A37" s="55" t="s">
        <v>110</v>
      </c>
      <c r="C37" s="56">
        <v>0</v>
      </c>
      <c r="D37" s="56"/>
      <c r="E37" s="56">
        <v>0</v>
      </c>
      <c r="F37" s="56"/>
      <c r="G37" s="56">
        <v>0</v>
      </c>
      <c r="H37" s="56"/>
      <c r="I37" s="56"/>
      <c r="J37" s="56">
        <v>0</v>
      </c>
      <c r="K37" s="56"/>
      <c r="L37" s="56">
        <f>67+62+129+129+129+850</f>
        <v>1366</v>
      </c>
      <c r="M37" s="56"/>
      <c r="N37" s="56">
        <v>0</v>
      </c>
      <c r="O37" s="56"/>
      <c r="P37" s="56">
        <f>SUM(C37:O37)</f>
        <v>1366</v>
      </c>
      <c r="Q37" s="56"/>
      <c r="R37" s="56">
        <v>0</v>
      </c>
      <c r="S37" s="16"/>
      <c r="T37" s="56">
        <f>SUM(P37:R37)</f>
        <v>1366</v>
      </c>
    </row>
    <row r="38" spans="3:20" s="55" customFormat="1" ht="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16"/>
      <c r="T38" s="56"/>
    </row>
    <row r="39" spans="1:20" s="55" customFormat="1" ht="15">
      <c r="A39" s="55" t="s">
        <v>124</v>
      </c>
      <c r="C39" s="56">
        <f>40+82+53+5791</f>
        <v>5966</v>
      </c>
      <c r="D39" s="56"/>
      <c r="E39" s="56">
        <v>0</v>
      </c>
      <c r="F39" s="56"/>
      <c r="G39" s="56">
        <f>26+869</f>
        <v>895</v>
      </c>
      <c r="H39" s="56"/>
      <c r="I39" s="56"/>
      <c r="J39" s="56">
        <v>0</v>
      </c>
      <c r="K39" s="56"/>
      <c r="L39" s="56">
        <v>0</v>
      </c>
      <c r="M39" s="56"/>
      <c r="N39" s="56">
        <v>0</v>
      </c>
      <c r="O39" s="56"/>
      <c r="P39" s="56">
        <f>SUM(C39:O39)</f>
        <v>6861</v>
      </c>
      <c r="Q39" s="56"/>
      <c r="R39" s="56">
        <v>0</v>
      </c>
      <c r="S39" s="16"/>
      <c r="T39" s="56">
        <f>SUM(P39:R39)</f>
        <v>6861</v>
      </c>
    </row>
    <row r="40" spans="3:20" s="55" customFormat="1" ht="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16"/>
      <c r="T40" s="56"/>
    </row>
    <row r="41" spans="1:20" s="55" customFormat="1" ht="15">
      <c r="A41" s="55" t="s">
        <v>163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>
        <f>'[4]Consol adjustments'!$I$120/1000</f>
        <v>886.899</v>
      </c>
      <c r="S41" s="16"/>
      <c r="T41" s="56">
        <f>SUM(P41:R41)</f>
        <v>886.899</v>
      </c>
    </row>
    <row r="42" spans="3:20" s="55" customFormat="1" ht="15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16"/>
      <c r="T42" s="56"/>
    </row>
    <row r="43" spans="1:20" s="55" customFormat="1" ht="27" customHeight="1">
      <c r="A43" s="172" t="s">
        <v>139</v>
      </c>
      <c r="B43" s="172"/>
      <c r="C43" s="56">
        <v>139130</v>
      </c>
      <c r="D43" s="56"/>
      <c r="E43" s="56">
        <v>-1600</v>
      </c>
      <c r="F43" s="56"/>
      <c r="G43" s="56">
        <v>-137530</v>
      </c>
      <c r="H43" s="56"/>
      <c r="I43" s="56"/>
      <c r="J43" s="56">
        <v>0</v>
      </c>
      <c r="K43" s="56"/>
      <c r="L43" s="56">
        <v>0</v>
      </c>
      <c r="M43" s="56"/>
      <c r="N43" s="56">
        <v>0</v>
      </c>
      <c r="O43" s="56"/>
      <c r="P43" s="56">
        <f>SUM(C43:O43)</f>
        <v>0</v>
      </c>
      <c r="Q43" s="56"/>
      <c r="R43" s="56">
        <v>0</v>
      </c>
      <c r="S43" s="16"/>
      <c r="T43" s="56">
        <f>SUM(P43:R43)</f>
        <v>0</v>
      </c>
    </row>
    <row r="44" spans="3:20" s="55" customFormat="1" ht="1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16"/>
      <c r="T44" s="56"/>
    </row>
    <row r="45" spans="3:20" s="55" customFormat="1" ht="15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16"/>
      <c r="T45" s="56"/>
    </row>
    <row r="46" spans="1:20" s="55" customFormat="1" ht="15.75" thickBot="1">
      <c r="A46" s="54" t="s">
        <v>159</v>
      </c>
      <c r="B46" s="54"/>
      <c r="C46" s="59">
        <f>SUM(C30:C45)+C28+C18</f>
        <v>733009</v>
      </c>
      <c r="D46" s="16"/>
      <c r="E46" s="59">
        <f>SUM(E30:E45)+E28+E18</f>
        <v>0</v>
      </c>
      <c r="F46" s="16"/>
      <c r="G46" s="59">
        <f>SUM(G30:G45)+G28+G18</f>
        <v>121913</v>
      </c>
      <c r="H46" s="16"/>
      <c r="I46" s="16"/>
      <c r="J46" s="59">
        <f>SUM(J30:J45)+J28+J18</f>
        <v>-55203.684386822235</v>
      </c>
      <c r="K46" s="16"/>
      <c r="L46" s="59">
        <f>SUM(L30:L45)+L28+L18</f>
        <v>1366</v>
      </c>
      <c r="M46" s="16"/>
      <c r="N46" s="59">
        <f>SUM(N30:N45)+N28+N18</f>
        <v>102726</v>
      </c>
      <c r="O46" s="16"/>
      <c r="P46" s="59">
        <f>SUM(P30:P45)+P28+P18</f>
        <v>903810.3156131777</v>
      </c>
      <c r="Q46" s="16"/>
      <c r="R46" s="59">
        <f>SUM(R30:R45)+R28+R18</f>
        <v>52067.50576728195</v>
      </c>
      <c r="S46" s="74"/>
      <c r="T46" s="59">
        <f>SUM(T30:T45)+T28+T18</f>
        <v>955877.8213804597</v>
      </c>
    </row>
    <row r="47" spans="3:22" s="55" customFormat="1" ht="15.75" thickTop="1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6"/>
      <c r="T47" s="56"/>
      <c r="V47" s="157"/>
    </row>
    <row r="48" spans="3:20" s="55" customFormat="1" ht="15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16"/>
      <c r="T48" s="56"/>
    </row>
    <row r="49" spans="3:20" s="55" customFormat="1" ht="15" hidden="1">
      <c r="C49" s="50"/>
      <c r="D49" s="50"/>
      <c r="E49" s="50"/>
      <c r="F49" s="50"/>
      <c r="G49" s="50"/>
      <c r="H49" s="50"/>
      <c r="I49" s="50"/>
      <c r="J49" s="50"/>
      <c r="K49" s="50"/>
      <c r="L49" s="19" t="s">
        <v>12</v>
      </c>
      <c r="M49" s="27"/>
      <c r="N49" s="19" t="s">
        <v>12</v>
      </c>
      <c r="O49" s="27"/>
      <c r="P49" s="27"/>
      <c r="Q49" s="27"/>
      <c r="R49" s="27"/>
      <c r="S49" s="10"/>
      <c r="T49" s="50"/>
    </row>
    <row r="50" spans="3:20" s="55" customFormat="1" ht="15" hidden="1">
      <c r="C50" s="60" t="s">
        <v>13</v>
      </c>
      <c r="D50" s="61"/>
      <c r="E50" s="61"/>
      <c r="F50" s="61"/>
      <c r="G50" s="61"/>
      <c r="H50" s="61"/>
      <c r="I50" s="61"/>
      <c r="J50" s="61"/>
      <c r="K50" s="61"/>
      <c r="L50" s="60" t="s">
        <v>14</v>
      </c>
      <c r="M50" s="61"/>
      <c r="N50" s="60" t="s">
        <v>14</v>
      </c>
      <c r="O50" s="61"/>
      <c r="P50" s="61"/>
      <c r="Q50" s="61"/>
      <c r="R50" s="61"/>
      <c r="S50" s="115"/>
      <c r="T50" s="60" t="s">
        <v>0</v>
      </c>
    </row>
    <row r="51" spans="3:20" s="55" customFormat="1" ht="15" hidden="1">
      <c r="C51" s="19" t="s">
        <v>11</v>
      </c>
      <c r="D51" s="27"/>
      <c r="E51" s="27"/>
      <c r="F51" s="27"/>
      <c r="G51" s="27"/>
      <c r="H51" s="27"/>
      <c r="I51" s="27"/>
      <c r="J51" s="27"/>
      <c r="K51" s="27"/>
      <c r="L51" s="19" t="s">
        <v>11</v>
      </c>
      <c r="M51" s="27"/>
      <c r="N51" s="19" t="s">
        <v>11</v>
      </c>
      <c r="O51" s="27"/>
      <c r="P51" s="27"/>
      <c r="Q51" s="27"/>
      <c r="R51" s="27"/>
      <c r="S51" s="10"/>
      <c r="T51" s="19" t="s">
        <v>11</v>
      </c>
    </row>
    <row r="52" spans="3:20" s="55" customFormat="1" ht="1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16"/>
      <c r="T52" s="56"/>
    </row>
    <row r="53" spans="1:20" s="55" customFormat="1" ht="15">
      <c r="A53" s="54" t="s">
        <v>62</v>
      </c>
      <c r="C53" s="56">
        <v>74000</v>
      </c>
      <c r="D53" s="56"/>
      <c r="E53" s="56">
        <v>0</v>
      </c>
      <c r="F53" s="56"/>
      <c r="G53" s="56">
        <v>0</v>
      </c>
      <c r="H53" s="56"/>
      <c r="I53" s="56"/>
      <c r="J53" s="56">
        <v>0</v>
      </c>
      <c r="K53" s="56"/>
      <c r="L53" s="56">
        <v>0</v>
      </c>
      <c r="M53" s="56"/>
      <c r="N53" s="56">
        <v>15439</v>
      </c>
      <c r="O53" s="56"/>
      <c r="P53" s="56">
        <f>SUM(C53:N53)</f>
        <v>89439</v>
      </c>
      <c r="Q53" s="56"/>
      <c r="R53" s="56">
        <v>0</v>
      </c>
      <c r="S53" s="16"/>
      <c r="T53" s="56">
        <f>SUM(C53:N53)</f>
        <v>89439</v>
      </c>
    </row>
    <row r="54" spans="3:20" s="55" customFormat="1" ht="1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114"/>
      <c r="T54" s="57"/>
    </row>
    <row r="55" spans="1:20" s="55" customFormat="1" ht="15">
      <c r="A55" s="55" t="s">
        <v>88</v>
      </c>
      <c r="C55" s="56">
        <v>0</v>
      </c>
      <c r="D55" s="56"/>
      <c r="E55" s="56">
        <v>0</v>
      </c>
      <c r="F55" s="56"/>
      <c r="G55" s="56">
        <v>0</v>
      </c>
      <c r="H55" s="56"/>
      <c r="I55" s="56"/>
      <c r="J55" s="56">
        <v>0</v>
      </c>
      <c r="K55" s="56"/>
      <c r="L55" s="56">
        <v>0</v>
      </c>
      <c r="M55" s="56"/>
      <c r="N55" s="56">
        <f>ROUNDUP(+'IS'!G49,0)</f>
        <v>24460</v>
      </c>
      <c r="O55" s="56"/>
      <c r="P55" s="56">
        <f>SUM(C55:O55)</f>
        <v>24460</v>
      </c>
      <c r="Q55" s="56"/>
      <c r="R55" s="56">
        <f>ROUNDUP('IS'!G50,0)</f>
        <v>543</v>
      </c>
      <c r="S55" s="16"/>
      <c r="T55" s="56">
        <f>SUM(P55:R55)</f>
        <v>25003</v>
      </c>
    </row>
    <row r="56" spans="3:20" s="55" customFormat="1" ht="1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16"/>
      <c r="T56" s="56"/>
    </row>
    <row r="57" spans="1:20" s="55" customFormat="1" ht="15">
      <c r="A57" s="55" t="s">
        <v>175</v>
      </c>
      <c r="C57" s="56">
        <v>0</v>
      </c>
      <c r="D57" s="56"/>
      <c r="E57" s="56">
        <v>0</v>
      </c>
      <c r="F57" s="56"/>
      <c r="G57" s="56">
        <v>0</v>
      </c>
      <c r="H57" s="56"/>
      <c r="I57" s="56"/>
      <c r="J57" s="56">
        <v>0</v>
      </c>
      <c r="K57" s="56"/>
      <c r="L57" s="56">
        <v>0</v>
      </c>
      <c r="M57" s="56"/>
      <c r="N57" s="56"/>
      <c r="O57" s="56"/>
      <c r="P57" s="56">
        <f>SUM(C57:O57)</f>
        <v>0</v>
      </c>
      <c r="Q57" s="56"/>
      <c r="R57" s="56">
        <v>54706</v>
      </c>
      <c r="S57" s="16"/>
      <c r="T57" s="56">
        <f>SUM(P57:R57)</f>
        <v>54706</v>
      </c>
    </row>
    <row r="58" spans="3:20" s="55" customFormat="1" ht="15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16"/>
      <c r="T58" s="56"/>
    </row>
    <row r="59" s="55" customFormat="1" ht="15">
      <c r="A59" s="156" t="s">
        <v>49</v>
      </c>
    </row>
    <row r="60" spans="1:20" s="55" customFormat="1" ht="15">
      <c r="A60" s="55" t="s">
        <v>149</v>
      </c>
      <c r="C60" s="56">
        <v>0</v>
      </c>
      <c r="D60" s="56"/>
      <c r="E60" s="56">
        <v>0</v>
      </c>
      <c r="F60" s="56"/>
      <c r="G60" s="56">
        <v>0</v>
      </c>
      <c r="H60" s="56"/>
      <c r="I60" s="56"/>
      <c r="J60" s="56">
        <v>0</v>
      </c>
      <c r="K60" s="56"/>
      <c r="L60" s="58">
        <v>0</v>
      </c>
      <c r="M60" s="56"/>
      <c r="N60" s="56">
        <v>-1850</v>
      </c>
      <c r="O60" s="56"/>
      <c r="P60" s="56">
        <f>SUM(C60:O60)</f>
        <v>-1850</v>
      </c>
      <c r="Q60" s="56"/>
      <c r="R60" s="56">
        <v>0</v>
      </c>
      <c r="S60" s="16"/>
      <c r="T60" s="56">
        <f>SUM(P60:R60)</f>
        <v>-1850</v>
      </c>
    </row>
    <row r="61" spans="1:20" s="55" customFormat="1" ht="24" customHeight="1">
      <c r="A61" s="172" t="s">
        <v>165</v>
      </c>
      <c r="B61" s="172"/>
      <c r="C61" s="56"/>
      <c r="D61" s="56"/>
      <c r="E61" s="56"/>
      <c r="F61" s="56"/>
      <c r="G61" s="56"/>
      <c r="H61" s="56"/>
      <c r="I61" s="56"/>
      <c r="J61" s="56"/>
      <c r="K61" s="56"/>
      <c r="L61" s="58"/>
      <c r="M61" s="56"/>
      <c r="N61" s="56">
        <v>-864</v>
      </c>
      <c r="O61" s="56"/>
      <c r="P61" s="56">
        <f>SUM(C61:O61)</f>
        <v>-864</v>
      </c>
      <c r="Q61" s="56"/>
      <c r="R61" s="56"/>
      <c r="S61" s="16"/>
      <c r="T61" s="56">
        <f>SUM(P61:R61)</f>
        <v>-864</v>
      </c>
    </row>
    <row r="62" spans="3:20" s="55" customFormat="1" ht="1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O62" s="56"/>
      <c r="P62" s="56"/>
      <c r="Q62" s="56"/>
      <c r="R62" s="56"/>
      <c r="S62" s="16"/>
      <c r="T62" s="56"/>
    </row>
    <row r="63" spans="1:20" s="55" customFormat="1" ht="15">
      <c r="A63" s="55" t="s">
        <v>124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16"/>
      <c r="T63" s="56"/>
    </row>
    <row r="64" spans="1:20" s="55" customFormat="1" ht="15">
      <c r="A64" s="55" t="s">
        <v>151</v>
      </c>
      <c r="C64" s="56">
        <v>513913</v>
      </c>
      <c r="D64" s="56"/>
      <c r="E64" s="56">
        <v>0</v>
      </c>
      <c r="F64" s="56"/>
      <c r="G64" s="56">
        <v>100929</v>
      </c>
      <c r="H64" s="56"/>
      <c r="I64" s="56"/>
      <c r="J64" s="56">
        <v>0</v>
      </c>
      <c r="K64" s="56"/>
      <c r="L64" s="56">
        <v>0</v>
      </c>
      <c r="M64" s="56"/>
      <c r="N64" s="56">
        <v>0</v>
      </c>
      <c r="O64" s="56"/>
      <c r="P64" s="56">
        <f>SUM(C64:O64)</f>
        <v>614842</v>
      </c>
      <c r="Q64" s="56"/>
      <c r="R64" s="56">
        <v>0</v>
      </c>
      <c r="S64" s="16"/>
      <c r="T64" s="56">
        <f>SUM(P64:R64)</f>
        <v>614842</v>
      </c>
    </row>
    <row r="65" spans="1:20" s="55" customFormat="1" ht="15">
      <c r="A65" s="55" t="s">
        <v>150</v>
      </c>
      <c r="C65" s="56">
        <v>0</v>
      </c>
      <c r="D65" s="56"/>
      <c r="E65" s="56">
        <v>1600</v>
      </c>
      <c r="F65" s="56"/>
      <c r="G65" s="56">
        <v>158400</v>
      </c>
      <c r="H65" s="56"/>
      <c r="I65" s="56"/>
      <c r="J65" s="56">
        <v>0</v>
      </c>
      <c r="K65" s="56"/>
      <c r="L65" s="56">
        <v>0</v>
      </c>
      <c r="M65" s="56"/>
      <c r="N65" s="56">
        <v>0</v>
      </c>
      <c r="O65" s="56"/>
      <c r="P65" s="56">
        <f>SUM(C65:O65)</f>
        <v>160000</v>
      </c>
      <c r="Q65" s="56"/>
      <c r="R65" s="56">
        <v>0</v>
      </c>
      <c r="S65" s="16"/>
      <c r="T65" s="56">
        <f>SUM(P65:R65)</f>
        <v>160000</v>
      </c>
    </row>
    <row r="66" spans="3:20" s="55" customFormat="1" ht="15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16"/>
      <c r="T66" s="56" t="s">
        <v>152</v>
      </c>
    </row>
    <row r="67" spans="3:20" s="55" customFormat="1" ht="15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16"/>
      <c r="T67" s="56"/>
    </row>
    <row r="68" spans="1:20" s="55" customFormat="1" ht="15.75" thickBot="1">
      <c r="A68" s="54" t="s">
        <v>160</v>
      </c>
      <c r="B68" s="54"/>
      <c r="C68" s="59">
        <f>SUM(C53:C66)</f>
        <v>587913</v>
      </c>
      <c r="D68" s="16"/>
      <c r="E68" s="59">
        <f>SUM(E53:E66)</f>
        <v>1600</v>
      </c>
      <c r="F68" s="16"/>
      <c r="G68" s="59">
        <f>SUM(G53:G66)</f>
        <v>259329</v>
      </c>
      <c r="H68" s="16"/>
      <c r="I68" s="16"/>
      <c r="J68" s="59">
        <f>SUM(J53:J66)</f>
        <v>0</v>
      </c>
      <c r="K68" s="16"/>
      <c r="L68" s="59">
        <f>SUM(L53:L66)</f>
        <v>0</v>
      </c>
      <c r="M68" s="16"/>
      <c r="N68" s="59">
        <f>SUM(N53:N66)</f>
        <v>37185</v>
      </c>
      <c r="O68" s="16"/>
      <c r="P68" s="59">
        <f>SUM(P53:P66)</f>
        <v>886027</v>
      </c>
      <c r="Q68" s="16"/>
      <c r="R68" s="59">
        <f>SUM(R53:R66)</f>
        <v>55249</v>
      </c>
      <c r="S68" s="74"/>
      <c r="T68" s="59">
        <f>SUM(T53:T66)</f>
        <v>941276</v>
      </c>
    </row>
    <row r="69" spans="3:20" s="55" customFormat="1" ht="15.75" thickTop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16"/>
      <c r="T69" s="56"/>
    </row>
    <row r="71" ht="12.75">
      <c r="T71" s="163">
        <v>0</v>
      </c>
    </row>
    <row r="73" spans="1:20" s="17" customFormat="1" ht="12.75" customHeight="1">
      <c r="A73" s="171" t="s">
        <v>63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</row>
    <row r="74" spans="1:20" s="17" customFormat="1" ht="12.7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</row>
    <row r="75" spans="1:20" s="17" customFormat="1" ht="14.25">
      <c r="A75" s="92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4"/>
      <c r="T75" s="94"/>
    </row>
    <row r="76" ht="14.25">
      <c r="A76" s="151" t="s">
        <v>129</v>
      </c>
    </row>
  </sheetData>
  <mergeCells count="3">
    <mergeCell ref="A73:T74"/>
    <mergeCell ref="A43:B43"/>
    <mergeCell ref="A61:B61"/>
  </mergeCells>
  <printOptions/>
  <pageMargins left="1.17" right="0.22" top="0.41" bottom="0.56" header="0.27" footer="0.5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0"/>
  <sheetViews>
    <sheetView view="pageBreakPreview" zoomScale="60" zoomScaleNormal="75" workbookViewId="0" topLeftCell="A1">
      <selection activeCell="B1" sqref="B1"/>
    </sheetView>
  </sheetViews>
  <sheetFormatPr defaultColWidth="8.88671875" defaultRowHeight="15" customHeight="1"/>
  <cols>
    <col min="1" max="1" width="4.99609375" style="41" customWidth="1"/>
    <col min="2" max="2" width="2.10546875" style="41" customWidth="1"/>
    <col min="3" max="3" width="41.99609375" style="41" customWidth="1"/>
    <col min="4" max="4" width="5.3359375" style="41" customWidth="1"/>
    <col min="5" max="5" width="5.6640625" style="41" customWidth="1"/>
    <col min="6" max="6" width="17.5546875" style="42" customWidth="1"/>
    <col min="7" max="7" width="4.3359375" style="113" customWidth="1"/>
    <col min="8" max="8" width="17.88671875" style="41" customWidth="1"/>
    <col min="9" max="16384" width="7.10546875" style="41" customWidth="1"/>
  </cols>
  <sheetData>
    <row r="1" spans="2:7" s="1" customFormat="1" ht="18.75" customHeight="1">
      <c r="B1" s="68" t="s">
        <v>176</v>
      </c>
      <c r="F1" s="17"/>
      <c r="G1" s="2"/>
    </row>
    <row r="2" spans="2:7" s="1" customFormat="1" ht="15" customHeight="1">
      <c r="B2" s="53" t="s">
        <v>4</v>
      </c>
      <c r="F2" s="17"/>
      <c r="G2" s="2"/>
    </row>
    <row r="3" spans="2:7" s="1" customFormat="1" ht="15" customHeight="1">
      <c r="B3" s="3"/>
      <c r="F3" s="17"/>
      <c r="G3" s="2"/>
    </row>
    <row r="4" spans="2:7" s="1" customFormat="1" ht="15" customHeight="1">
      <c r="B4" s="4" t="s">
        <v>38</v>
      </c>
      <c r="F4" s="17"/>
      <c r="G4" s="2"/>
    </row>
    <row r="5" spans="2:7" s="1" customFormat="1" ht="15" customHeight="1">
      <c r="B5" s="4" t="s">
        <v>158</v>
      </c>
      <c r="F5" s="17"/>
      <c r="G5" s="2"/>
    </row>
    <row r="6" spans="2:7" s="1" customFormat="1" ht="15" customHeight="1">
      <c r="B6" s="4"/>
      <c r="F6" s="17"/>
      <c r="G6" s="2"/>
    </row>
    <row r="7" spans="2:8" s="1" customFormat="1" ht="15" customHeight="1">
      <c r="B7" s="3"/>
      <c r="E7" s="131"/>
      <c r="F7" s="131" t="s">
        <v>161</v>
      </c>
      <c r="G7" s="134"/>
      <c r="H7" s="131" t="s">
        <v>161</v>
      </c>
    </row>
    <row r="8" spans="4:8" s="26" customFormat="1" ht="15" customHeight="1">
      <c r="D8" s="45"/>
      <c r="F8" s="99" t="s">
        <v>156</v>
      </c>
      <c r="G8" s="135"/>
      <c r="H8" s="99" t="s">
        <v>55</v>
      </c>
    </row>
    <row r="9" spans="4:8" s="26" customFormat="1" ht="15" customHeight="1">
      <c r="D9" s="46"/>
      <c r="F9" s="100" t="s">
        <v>1</v>
      </c>
      <c r="G9" s="136"/>
      <c r="H9" s="100" t="s">
        <v>1</v>
      </c>
    </row>
    <row r="10" spans="4:8" s="26" customFormat="1" ht="15" customHeight="1">
      <c r="D10" s="46"/>
      <c r="F10" s="63"/>
      <c r="G10" s="137"/>
      <c r="H10" s="63"/>
    </row>
    <row r="11" spans="2:8" s="26" customFormat="1" ht="15" customHeight="1">
      <c r="B11" s="18" t="s">
        <v>30</v>
      </c>
      <c r="D11" s="46"/>
      <c r="F11" s="64"/>
      <c r="G11" s="110"/>
      <c r="H11" s="64"/>
    </row>
    <row r="12" spans="4:8" s="26" customFormat="1" ht="15" customHeight="1">
      <c r="D12" s="46"/>
      <c r="F12" s="64"/>
      <c r="G12" s="110"/>
      <c r="H12" s="64"/>
    </row>
    <row r="13" spans="2:8" s="26" customFormat="1" ht="15" customHeight="1">
      <c r="B13" s="26" t="s">
        <v>42</v>
      </c>
      <c r="D13" s="46"/>
      <c r="F13" s="27">
        <f>ROUNDUP('IS'!F36+'IS'!F43+764+674,0)</f>
        <v>91825</v>
      </c>
      <c r="G13" s="10"/>
      <c r="H13" s="27">
        <v>29657</v>
      </c>
    </row>
    <row r="14" spans="4:8" s="26" customFormat="1" ht="15" customHeight="1">
      <c r="D14" s="46"/>
      <c r="F14" s="27"/>
      <c r="G14" s="10"/>
      <c r="H14" s="27"/>
    </row>
    <row r="15" spans="4:8" s="26" customFormat="1" ht="15" customHeight="1">
      <c r="D15" s="46"/>
      <c r="F15" s="27"/>
      <c r="G15" s="10"/>
      <c r="H15" s="27"/>
    </row>
    <row r="16" spans="2:8" s="26" customFormat="1" ht="15" customHeight="1">
      <c r="B16" s="26" t="s">
        <v>174</v>
      </c>
      <c r="D16" s="46"/>
      <c r="F16" s="27"/>
      <c r="G16" s="10"/>
      <c r="H16" s="27"/>
    </row>
    <row r="17" spans="3:8" s="26" customFormat="1" ht="15.75" customHeight="1">
      <c r="C17" s="26" t="s">
        <v>147</v>
      </c>
      <c r="D17" s="46"/>
      <c r="F17" s="27">
        <f>+'[6]BS'!$L$15</f>
        <v>57518.885612624006</v>
      </c>
      <c r="G17" s="10"/>
      <c r="H17" s="27">
        <v>14386</v>
      </c>
    </row>
    <row r="18" spans="3:8" s="26" customFormat="1" ht="15.75" customHeight="1">
      <c r="C18" s="26" t="s">
        <v>40</v>
      </c>
      <c r="D18" s="46"/>
      <c r="F18" s="27">
        <v>0</v>
      </c>
      <c r="G18" s="10"/>
      <c r="H18" s="27">
        <v>-43</v>
      </c>
    </row>
    <row r="19" spans="3:8" s="26" customFormat="1" ht="15.75" customHeight="1">
      <c r="C19" s="26" t="s">
        <v>167</v>
      </c>
      <c r="D19" s="46"/>
      <c r="F19" s="27"/>
      <c r="G19" s="10"/>
      <c r="H19" s="27">
        <v>221</v>
      </c>
    </row>
    <row r="20" spans="3:8" s="26" customFormat="1" ht="15.75" customHeight="1">
      <c r="C20" s="26" t="s">
        <v>166</v>
      </c>
      <c r="D20" s="46"/>
      <c r="F20" s="27">
        <f>+'[6]BS'!$L$61</f>
        <v>368.65</v>
      </c>
      <c r="G20" s="10"/>
      <c r="H20" s="27">
        <v>0</v>
      </c>
    </row>
    <row r="21" spans="3:8" s="26" customFormat="1" ht="15.75" customHeight="1">
      <c r="C21" s="26" t="s">
        <v>168</v>
      </c>
      <c r="D21" s="46"/>
      <c r="F21" s="27">
        <v>0</v>
      </c>
      <c r="G21" s="10"/>
      <c r="H21" s="27">
        <v>788</v>
      </c>
    </row>
    <row r="22" spans="3:8" s="26" customFormat="1" ht="15.75" customHeight="1">
      <c r="C22" s="26" t="s">
        <v>169</v>
      </c>
      <c r="D22" s="46"/>
      <c r="F22" s="27"/>
      <c r="G22" s="10"/>
      <c r="H22" s="27">
        <v>-4</v>
      </c>
    </row>
    <row r="23" spans="3:8" s="26" customFormat="1" ht="15.75" customHeight="1">
      <c r="C23" s="55" t="s">
        <v>145</v>
      </c>
      <c r="D23" s="46"/>
      <c r="F23" s="27">
        <f>+'[6]BS'!$K$47</f>
        <v>1366</v>
      </c>
      <c r="G23" s="10"/>
      <c r="H23" s="27">
        <v>0</v>
      </c>
    </row>
    <row r="24" spans="3:8" s="26" customFormat="1" ht="15" customHeight="1">
      <c r="C24" s="26" t="s">
        <v>32</v>
      </c>
      <c r="D24" s="46"/>
      <c r="F24" s="27">
        <f>-'IS'!F28</f>
        <v>44558.587333263706</v>
      </c>
      <c r="G24" s="10"/>
      <c r="H24" s="27">
        <v>11790</v>
      </c>
    </row>
    <row r="25" spans="3:9" s="26" customFormat="1" ht="15" customHeight="1">
      <c r="C25" s="26" t="s">
        <v>33</v>
      </c>
      <c r="D25" s="46"/>
      <c r="F25" s="10">
        <f>-'IS'!F30</f>
        <v>-5477.747684151001</v>
      </c>
      <c r="G25" s="10"/>
      <c r="H25" s="10">
        <v>-1330</v>
      </c>
      <c r="I25" s="48"/>
    </row>
    <row r="26" spans="3:8" s="26" customFormat="1" ht="15" customHeight="1">
      <c r="C26" s="26" t="s">
        <v>111</v>
      </c>
      <c r="D26" s="46"/>
      <c r="F26" s="11">
        <f>-'IS'!F33</f>
        <v>-31737.75353267001</v>
      </c>
      <c r="G26" s="10"/>
      <c r="H26" s="11">
        <v>-5522</v>
      </c>
    </row>
    <row r="27" spans="4:8" s="26" customFormat="1" ht="8.25" customHeight="1">
      <c r="D27" s="46"/>
      <c r="F27" s="27"/>
      <c r="G27" s="10"/>
      <c r="H27" s="27"/>
    </row>
    <row r="28" spans="2:8" s="26" customFormat="1" ht="15" customHeight="1">
      <c r="B28" s="26" t="s">
        <v>25</v>
      </c>
      <c r="D28" s="46"/>
      <c r="F28" s="27">
        <f>SUM(F13:F26)</f>
        <v>158421.6217290667</v>
      </c>
      <c r="G28" s="10"/>
      <c r="H28" s="27">
        <f>SUM(H13:H26)</f>
        <v>49943</v>
      </c>
    </row>
    <row r="29" spans="4:8" s="26" customFormat="1" ht="15" customHeight="1">
      <c r="D29" s="46"/>
      <c r="F29" s="27"/>
      <c r="G29" s="10"/>
      <c r="H29" s="27"/>
    </row>
    <row r="30" spans="2:9" s="26" customFormat="1" ht="15" customHeight="1">
      <c r="B30" s="26" t="s">
        <v>26</v>
      </c>
      <c r="D30" s="46"/>
      <c r="F30" s="10"/>
      <c r="G30" s="10"/>
      <c r="H30" s="10"/>
      <c r="I30" s="48"/>
    </row>
    <row r="31" spans="3:9" s="26" customFormat="1" ht="15" customHeight="1">
      <c r="C31" s="26" t="s">
        <v>131</v>
      </c>
      <c r="D31" s="46"/>
      <c r="F31" s="10">
        <v>-2326</v>
      </c>
      <c r="G31" s="10"/>
      <c r="H31" s="10">
        <v>-9427</v>
      </c>
      <c r="I31" s="48"/>
    </row>
    <row r="32" spans="3:9" s="26" customFormat="1" ht="15" customHeight="1">
      <c r="C32" s="26" t="s">
        <v>132</v>
      </c>
      <c r="D32" s="46"/>
      <c r="F32" s="10">
        <f>+'[6]BS'!$X$75+'[6]BS'!$M$75-3624</f>
        <v>-57205.6992</v>
      </c>
      <c r="G32" s="10"/>
      <c r="H32" s="10">
        <v>-110952</v>
      </c>
      <c r="I32" s="48"/>
    </row>
    <row r="33" spans="3:9" s="26" customFormat="1" ht="15" customHeight="1">
      <c r="C33" s="26" t="s">
        <v>57</v>
      </c>
      <c r="D33" s="46"/>
      <c r="F33" s="11">
        <f>+'[6]BS'!$Z$75</f>
        <v>15838.06143999999</v>
      </c>
      <c r="G33" s="10"/>
      <c r="H33" s="11">
        <v>84649</v>
      </c>
      <c r="I33" s="48"/>
    </row>
    <row r="34" spans="4:9" s="26" customFormat="1" ht="9.75" customHeight="1">
      <c r="D34" s="46"/>
      <c r="F34" s="10"/>
      <c r="G34" s="10"/>
      <c r="H34" s="10"/>
      <c r="I34" s="48"/>
    </row>
    <row r="35" spans="2:9" s="26" customFormat="1" ht="15" customHeight="1">
      <c r="B35" s="26" t="s">
        <v>54</v>
      </c>
      <c r="D35" s="47"/>
      <c r="E35" s="48"/>
      <c r="F35" s="16">
        <f>SUM(F28:F33)</f>
        <v>114727.9839690667</v>
      </c>
      <c r="G35" s="16"/>
      <c r="H35" s="16">
        <v>14213</v>
      </c>
      <c r="I35" s="48"/>
    </row>
    <row r="36" spans="4:9" s="26" customFormat="1" ht="15" customHeight="1">
      <c r="D36" s="47"/>
      <c r="E36" s="48"/>
      <c r="F36" s="16"/>
      <c r="G36" s="16"/>
      <c r="H36" s="16"/>
      <c r="I36" s="48"/>
    </row>
    <row r="37" spans="3:9" s="26" customFormat="1" ht="15" customHeight="1">
      <c r="C37" s="26" t="s">
        <v>34</v>
      </c>
      <c r="D37" s="47"/>
      <c r="E37" s="48"/>
      <c r="F37" s="16">
        <f>-F25</f>
        <v>5477.747684151001</v>
      </c>
      <c r="G37" s="16"/>
      <c r="H37" s="16">
        <v>1330</v>
      </c>
      <c r="I37" s="48"/>
    </row>
    <row r="38" spans="3:9" s="26" customFormat="1" ht="15" customHeight="1">
      <c r="C38" s="26" t="s">
        <v>29</v>
      </c>
      <c r="D38" s="47"/>
      <c r="E38" s="48"/>
      <c r="F38" s="132">
        <f>+'[6]BS'!$AA$75</f>
        <v>-7973.098220011749</v>
      </c>
      <c r="G38" s="16"/>
      <c r="H38" s="132">
        <v>-2880</v>
      </c>
      <c r="I38" s="48"/>
    </row>
    <row r="39" spans="2:9" s="26" customFormat="1" ht="15" customHeight="1">
      <c r="B39" s="26" t="s">
        <v>56</v>
      </c>
      <c r="D39" s="47"/>
      <c r="F39" s="132">
        <f>SUM(F35:F38)</f>
        <v>112232.63343320596</v>
      </c>
      <c r="G39" s="16"/>
      <c r="H39" s="132">
        <f>SUM(H35:H38)</f>
        <v>12663</v>
      </c>
      <c r="I39" s="48"/>
    </row>
    <row r="40" spans="4:9" s="26" customFormat="1" ht="15" customHeight="1">
      <c r="D40" s="47"/>
      <c r="F40" s="133"/>
      <c r="G40" s="133"/>
      <c r="H40" s="133"/>
      <c r="I40" s="48"/>
    </row>
    <row r="41" spans="2:9" s="26" customFormat="1" ht="15" customHeight="1">
      <c r="B41" s="18" t="s">
        <v>36</v>
      </c>
      <c r="C41" s="49"/>
      <c r="D41" s="47"/>
      <c r="E41" s="48"/>
      <c r="F41" s="16"/>
      <c r="G41" s="16"/>
      <c r="H41" s="16"/>
      <c r="I41" s="48"/>
    </row>
    <row r="42" spans="2:9" s="26" customFormat="1" ht="15" customHeight="1">
      <c r="B42" s="18"/>
      <c r="C42" s="49"/>
      <c r="D42" s="47"/>
      <c r="E42" s="48"/>
      <c r="F42" s="16"/>
      <c r="G42" s="16"/>
      <c r="H42" s="16"/>
      <c r="I42" s="48"/>
    </row>
    <row r="43" spans="2:9" s="26" customFormat="1" ht="15" customHeight="1">
      <c r="B43" s="18"/>
      <c r="C43" s="26" t="s">
        <v>27</v>
      </c>
      <c r="D43" s="47"/>
      <c r="E43" s="48"/>
      <c r="F43" s="16">
        <f>+'[6]BS'!$AC$80</f>
        <v>-82935.30181290001</v>
      </c>
      <c r="G43" s="16"/>
      <c r="H43" s="16">
        <v>-710</v>
      </c>
      <c r="I43" s="48"/>
    </row>
    <row r="44" spans="2:9" s="26" customFormat="1" ht="15" customHeight="1">
      <c r="B44" s="18"/>
      <c r="C44" s="26" t="s">
        <v>53</v>
      </c>
      <c r="D44" s="47"/>
      <c r="E44" s="48"/>
      <c r="F44" s="16">
        <v>0</v>
      </c>
      <c r="G44" s="16"/>
      <c r="H44" s="16">
        <v>-180259</v>
      </c>
      <c r="I44" s="48"/>
    </row>
    <row r="45" spans="2:9" s="26" customFormat="1" ht="15" customHeight="1">
      <c r="B45" s="18"/>
      <c r="C45" s="26" t="s">
        <v>142</v>
      </c>
      <c r="D45" s="47"/>
      <c r="E45" s="48"/>
      <c r="F45" s="16">
        <v>0</v>
      </c>
      <c r="G45" s="16"/>
      <c r="H45" s="16">
        <v>-1064031</v>
      </c>
      <c r="I45" s="48"/>
    </row>
    <row r="46" spans="2:9" s="26" customFormat="1" ht="15" customHeight="1">
      <c r="B46" s="18"/>
      <c r="C46" s="26" t="s">
        <v>28</v>
      </c>
      <c r="D46" s="47"/>
      <c r="E46" s="48"/>
      <c r="F46" s="16">
        <v>0</v>
      </c>
      <c r="G46" s="16"/>
      <c r="H46" s="16">
        <v>67</v>
      </c>
      <c r="I46" s="48"/>
    </row>
    <row r="47" spans="2:9" s="26" customFormat="1" ht="15" customHeight="1">
      <c r="B47" s="18"/>
      <c r="C47" s="26" t="s">
        <v>130</v>
      </c>
      <c r="D47" s="47"/>
      <c r="E47" s="48"/>
      <c r="F47" s="16">
        <f>8973+8751-1307+26918</f>
        <v>43335</v>
      </c>
      <c r="G47" s="16"/>
      <c r="H47" s="16">
        <v>0</v>
      </c>
      <c r="I47" s="48"/>
    </row>
    <row r="48" spans="2:9" s="26" customFormat="1" ht="15" customHeight="1">
      <c r="B48" s="18"/>
      <c r="C48" s="26" t="s">
        <v>68</v>
      </c>
      <c r="D48" s="47"/>
      <c r="E48" s="48"/>
      <c r="F48" s="132">
        <f>+'[6]BS'!$AG$75</f>
        <v>7176</v>
      </c>
      <c r="G48" s="16"/>
      <c r="H48" s="132">
        <v>0</v>
      </c>
      <c r="I48" s="48"/>
    </row>
    <row r="49" spans="2:9" s="26" customFormat="1" ht="15" customHeight="1">
      <c r="B49" s="26" t="s">
        <v>171</v>
      </c>
      <c r="D49" s="47"/>
      <c r="E49" s="48"/>
      <c r="F49" s="132">
        <f>SUM(F43:F48)</f>
        <v>-32424.301812900012</v>
      </c>
      <c r="G49" s="16"/>
      <c r="H49" s="132">
        <f>SUM(H43:H48)</f>
        <v>-1244933</v>
      </c>
      <c r="I49" s="48"/>
    </row>
    <row r="50" spans="4:9" s="26" customFormat="1" ht="15" customHeight="1">
      <c r="D50" s="47"/>
      <c r="E50" s="48"/>
      <c r="F50" s="133"/>
      <c r="G50" s="133"/>
      <c r="H50" s="133"/>
      <c r="I50" s="48"/>
    </row>
    <row r="51" spans="2:9" s="26" customFormat="1" ht="15" customHeight="1">
      <c r="B51" s="18" t="s">
        <v>50</v>
      </c>
      <c r="D51" s="47"/>
      <c r="E51" s="48"/>
      <c r="F51" s="16"/>
      <c r="G51" s="16"/>
      <c r="H51" s="16"/>
      <c r="I51" s="48"/>
    </row>
    <row r="52" spans="2:9" s="26" customFormat="1" ht="15" customHeight="1">
      <c r="B52" s="18"/>
      <c r="D52" s="47"/>
      <c r="E52" s="48"/>
      <c r="F52" s="16"/>
      <c r="G52" s="16"/>
      <c r="H52" s="16"/>
      <c r="I52" s="48"/>
    </row>
    <row r="53" spans="2:9" s="26" customFormat="1" ht="15" customHeight="1">
      <c r="B53" s="18"/>
      <c r="C53" s="26" t="s">
        <v>69</v>
      </c>
      <c r="D53" s="47"/>
      <c r="E53" s="48"/>
      <c r="F53" s="16">
        <f>ROUNDDOWN(+'[6]BS'!$AM$80,0)</f>
        <v>-238979</v>
      </c>
      <c r="G53" s="16"/>
      <c r="H53" s="16">
        <f>-1769-101</f>
        <v>-1870</v>
      </c>
      <c r="I53" s="48"/>
    </row>
    <row r="54" spans="2:9" s="26" customFormat="1" ht="15" customHeight="1">
      <c r="B54" s="18"/>
      <c r="C54" s="26" t="s">
        <v>148</v>
      </c>
      <c r="D54" s="47"/>
      <c r="E54" s="48"/>
      <c r="F54" s="16">
        <f>'[6]BS'!$AK$75+'[6]BS'!$AL$75</f>
        <v>167658.598072</v>
      </c>
      <c r="G54" s="16"/>
      <c r="H54" s="16">
        <v>628999</v>
      </c>
      <c r="I54" s="48"/>
    </row>
    <row r="55" spans="3:9" s="26" customFormat="1" ht="15" customHeight="1">
      <c r="C55" s="26" t="s">
        <v>35</v>
      </c>
      <c r="D55" s="47"/>
      <c r="E55" s="48"/>
      <c r="F55" s="16">
        <f>-F24</f>
        <v>-44558.587333263706</v>
      </c>
      <c r="G55" s="16"/>
      <c r="H55" s="16">
        <v>-11790</v>
      </c>
      <c r="I55" s="48"/>
    </row>
    <row r="56" spans="3:9" s="26" customFormat="1" ht="15" customHeight="1">
      <c r="C56" s="26" t="s">
        <v>136</v>
      </c>
      <c r="D56" s="47"/>
      <c r="E56" s="48"/>
      <c r="F56" s="16">
        <f>+'[6]BS'!$AJ$75</f>
        <v>6255</v>
      </c>
      <c r="G56" s="16"/>
      <c r="H56" s="16">
        <v>774842</v>
      </c>
      <c r="I56" s="48"/>
    </row>
    <row r="57" spans="3:9" s="26" customFormat="1" ht="15" customHeight="1">
      <c r="C57" s="26" t="s">
        <v>141</v>
      </c>
      <c r="D57" s="47"/>
      <c r="E57" s="48"/>
      <c r="F57" s="16">
        <f>'[6]BS'!$AP$52</f>
        <v>-2703.0399999999995</v>
      </c>
      <c r="G57" s="16"/>
      <c r="H57" s="16">
        <v>0</v>
      </c>
      <c r="I57" s="48"/>
    </row>
    <row r="58" spans="3:9" s="26" customFormat="1" ht="15" customHeight="1">
      <c r="C58" s="26" t="s">
        <v>140</v>
      </c>
      <c r="D58" s="47"/>
      <c r="E58" s="48"/>
      <c r="F58" s="16">
        <f>'[6]BS'!$AP$48</f>
        <v>-14919</v>
      </c>
      <c r="G58" s="16"/>
      <c r="H58" s="16">
        <v>-1850</v>
      </c>
      <c r="I58" s="48"/>
    </row>
    <row r="59" spans="3:9" s="26" customFormat="1" ht="15" customHeight="1">
      <c r="C59" s="26" t="s">
        <v>170</v>
      </c>
      <c r="D59" s="47"/>
      <c r="E59" s="48"/>
      <c r="F59" s="132">
        <f>+'[6]BS'!$P$87-'[6]BS'!$I$87</f>
        <v>11793.600000000002</v>
      </c>
      <c r="G59" s="16"/>
      <c r="H59" s="132">
        <v>-27591</v>
      </c>
      <c r="I59" s="48"/>
    </row>
    <row r="60" spans="2:8" s="26" customFormat="1" ht="15" customHeight="1">
      <c r="B60" s="26" t="s">
        <v>143</v>
      </c>
      <c r="D60" s="47"/>
      <c r="E60" s="48"/>
      <c r="F60" s="132">
        <f>SUM(F53:F59)</f>
        <v>-115452.42926126371</v>
      </c>
      <c r="G60" s="16"/>
      <c r="H60" s="132">
        <f>SUM(H53:H59)</f>
        <v>1360740</v>
      </c>
    </row>
    <row r="61" spans="4:8" s="26" customFormat="1" ht="15" customHeight="1">
      <c r="D61" s="47"/>
      <c r="E61" s="48"/>
      <c r="F61" s="133"/>
      <c r="G61" s="16"/>
      <c r="H61" s="133"/>
    </row>
    <row r="62" spans="2:8" s="26" customFormat="1" ht="15" customHeight="1">
      <c r="B62" s="18"/>
      <c r="D62" s="47"/>
      <c r="E62" s="48"/>
      <c r="F62" s="16"/>
      <c r="G62" s="16"/>
      <c r="H62" s="16"/>
    </row>
    <row r="63" spans="2:8" s="26" customFormat="1" ht="15" customHeight="1">
      <c r="B63" s="26" t="s">
        <v>144</v>
      </c>
      <c r="D63" s="47"/>
      <c r="E63" s="48"/>
      <c r="F63" s="56">
        <f>F39+F49+F60</f>
        <v>-35644.097640957756</v>
      </c>
      <c r="G63" s="16"/>
      <c r="H63" s="56">
        <f>H39+H49+H60</f>
        <v>128470</v>
      </c>
    </row>
    <row r="64" spans="4:8" s="26" customFormat="1" ht="15" customHeight="1">
      <c r="D64" s="47"/>
      <c r="E64" s="48"/>
      <c r="F64" s="56"/>
      <c r="G64" s="16"/>
      <c r="H64" s="56"/>
    </row>
    <row r="65" spans="2:8" s="26" customFormat="1" ht="15" customHeight="1">
      <c r="B65" s="18" t="s">
        <v>22</v>
      </c>
      <c r="D65" s="47"/>
      <c r="E65" s="48"/>
      <c r="F65" s="56">
        <v>122646</v>
      </c>
      <c r="G65" s="16"/>
      <c r="H65" s="56">
        <v>-5824</v>
      </c>
    </row>
    <row r="66" spans="4:8" s="26" customFormat="1" ht="15" customHeight="1">
      <c r="D66" s="47"/>
      <c r="E66" s="48"/>
      <c r="F66" s="56"/>
      <c r="G66" s="16"/>
      <c r="H66" s="56"/>
    </row>
    <row r="67" spans="2:8" s="26" customFormat="1" ht="15" customHeight="1">
      <c r="B67" s="26" t="s">
        <v>67</v>
      </c>
      <c r="D67" s="47"/>
      <c r="E67" s="48"/>
      <c r="F67" s="56">
        <f>+'[6]BS'!$J$105-'[6]BS'!$R$93</f>
        <v>-7052.701479700019</v>
      </c>
      <c r="G67" s="16"/>
      <c r="H67" s="56">
        <v>0</v>
      </c>
    </row>
    <row r="68" spans="4:8" s="26" customFormat="1" ht="15" customHeight="1">
      <c r="D68" s="47"/>
      <c r="E68" s="48"/>
      <c r="F68" s="56"/>
      <c r="G68" s="16"/>
      <c r="H68" s="56"/>
    </row>
    <row r="69" spans="2:8" s="26" customFormat="1" ht="15" customHeight="1" thickBot="1">
      <c r="B69" s="18" t="s">
        <v>164</v>
      </c>
      <c r="D69" s="47"/>
      <c r="E69" s="48"/>
      <c r="F69" s="65">
        <f>+F63+F65+F67</f>
        <v>79949.20087934223</v>
      </c>
      <c r="G69" s="16"/>
      <c r="H69" s="65">
        <f>+H63+H65</f>
        <v>122646</v>
      </c>
    </row>
    <row r="70" spans="6:8" s="26" customFormat="1" ht="15" customHeight="1" thickTop="1">
      <c r="F70" s="56"/>
      <c r="G70" s="16"/>
      <c r="H70" s="56"/>
    </row>
    <row r="71" spans="2:8" s="26" customFormat="1" ht="15" customHeight="1">
      <c r="B71" s="26" t="s">
        <v>43</v>
      </c>
      <c r="F71" s="55"/>
      <c r="G71" s="102"/>
      <c r="H71" s="55"/>
    </row>
    <row r="72" spans="6:8" s="26" customFormat="1" ht="15" customHeight="1">
      <c r="F72" s="55"/>
      <c r="G72" s="102"/>
      <c r="H72" s="55"/>
    </row>
    <row r="73" spans="6:8" s="107" customFormat="1" ht="15" customHeight="1">
      <c r="F73" s="100" t="s">
        <v>1</v>
      </c>
      <c r="G73" s="136"/>
      <c r="H73" s="100" t="s">
        <v>1</v>
      </c>
    </row>
    <row r="74" spans="6:8" s="26" customFormat="1" ht="15" customHeight="1">
      <c r="F74" s="62"/>
      <c r="G74" s="138"/>
      <c r="H74" s="62"/>
    </row>
    <row r="75" spans="3:8" s="26" customFormat="1" ht="15" customHeight="1">
      <c r="C75" s="26" t="s">
        <v>137</v>
      </c>
      <c r="F75" s="16">
        <f>'BS'!D32</f>
        <v>45932.51179</v>
      </c>
      <c r="G75" s="16"/>
      <c r="H75" s="16">
        <f>+'BS'!E32</f>
        <v>98804</v>
      </c>
    </row>
    <row r="76" spans="3:8" s="26" customFormat="1" ht="15" customHeight="1">
      <c r="C76" s="26" t="s">
        <v>15</v>
      </c>
      <c r="F76" s="16">
        <f>'BS'!D33</f>
        <v>49813.256566699994</v>
      </c>
      <c r="G76" s="16"/>
      <c r="H76" s="16">
        <f>+'BS'!E33</f>
        <v>59630</v>
      </c>
    </row>
    <row r="77" spans="3:8" s="26" customFormat="1" ht="15" customHeight="1">
      <c r="C77" s="26" t="s">
        <v>16</v>
      </c>
      <c r="F77" s="132">
        <v>0</v>
      </c>
      <c r="G77" s="16"/>
      <c r="H77" s="132">
        <v>-8198</v>
      </c>
    </row>
    <row r="78" spans="6:8" s="26" customFormat="1" ht="15" customHeight="1">
      <c r="F78" s="16">
        <f>SUM(F75:F77)</f>
        <v>95745.76835669999</v>
      </c>
      <c r="G78" s="16"/>
      <c r="H78" s="16">
        <f>SUM(H75:H77)</f>
        <v>150236</v>
      </c>
    </row>
    <row r="79" spans="3:9" s="26" customFormat="1" ht="15" customHeight="1">
      <c r="C79" s="26" t="s">
        <v>138</v>
      </c>
      <c r="F79" s="16">
        <f>-'[6]BS'!$I$85</f>
        <v>-15796.75</v>
      </c>
      <c r="G79" s="16"/>
      <c r="H79" s="16">
        <f>-'[6]BS'!$P$87</f>
        <v>-27590.350000000002</v>
      </c>
      <c r="I79" s="30"/>
    </row>
    <row r="80" spans="6:10" s="26" customFormat="1" ht="15" customHeight="1" thickBot="1">
      <c r="F80" s="65">
        <f>SUM(F78:F79)</f>
        <v>79949.01835669999</v>
      </c>
      <c r="G80" s="16"/>
      <c r="H80" s="65">
        <f>SUM(H78:H79)</f>
        <v>122645.65</v>
      </c>
      <c r="J80" s="30"/>
    </row>
    <row r="81" spans="6:8" s="26" customFormat="1" ht="15" customHeight="1" thickTop="1">
      <c r="F81" s="16"/>
      <c r="G81" s="16"/>
      <c r="H81" s="16"/>
    </row>
    <row r="82" spans="2:8" s="26" customFormat="1" ht="15" customHeight="1">
      <c r="B82" s="95"/>
      <c r="C82" s="96"/>
      <c r="D82" s="96"/>
      <c r="E82" s="96"/>
      <c r="F82" s="97"/>
      <c r="G82" s="139"/>
      <c r="H82" s="98"/>
    </row>
    <row r="83" spans="2:8" s="1" customFormat="1" ht="15" customHeight="1">
      <c r="B83" s="169" t="s">
        <v>63</v>
      </c>
      <c r="C83" s="169"/>
      <c r="D83" s="169"/>
      <c r="E83" s="169"/>
      <c r="F83" s="169"/>
      <c r="G83" s="169"/>
      <c r="H83" s="169"/>
    </row>
    <row r="84" spans="2:8" s="1" customFormat="1" ht="15" customHeight="1">
      <c r="B84" s="169"/>
      <c r="C84" s="169"/>
      <c r="D84" s="169"/>
      <c r="E84" s="169"/>
      <c r="F84" s="169"/>
      <c r="G84" s="169"/>
      <c r="H84" s="169"/>
    </row>
    <row r="85" spans="2:8" s="1" customFormat="1" ht="15" customHeight="1">
      <c r="B85" s="43"/>
      <c r="F85" s="17"/>
      <c r="G85" s="2"/>
      <c r="H85" s="66"/>
    </row>
    <row r="86" spans="6:8" ht="15" customHeight="1">
      <c r="F86" s="44"/>
      <c r="G86" s="140"/>
      <c r="H86" s="66"/>
    </row>
    <row r="87" spans="6:8" ht="15" customHeight="1">
      <c r="F87" s="85">
        <f>+F69-F80</f>
        <v>0.18252264223701786</v>
      </c>
      <c r="G87" s="141"/>
      <c r="H87" s="67"/>
    </row>
    <row r="88" spans="6:8" ht="15" customHeight="1">
      <c r="F88" s="44">
        <f>+F69-F80</f>
        <v>0.18252264223701786</v>
      </c>
      <c r="G88" s="140"/>
      <c r="H88" s="67"/>
    </row>
    <row r="89" ht="15" customHeight="1">
      <c r="H89" s="67"/>
    </row>
    <row r="90" ht="15" customHeight="1">
      <c r="H90" s="67"/>
    </row>
    <row r="91" ht="15" customHeight="1">
      <c r="H91" s="67"/>
    </row>
    <row r="92" ht="15" customHeight="1">
      <c r="H92" s="67"/>
    </row>
    <row r="93" ht="15" customHeight="1">
      <c r="H93" s="67"/>
    </row>
    <row r="94" ht="15" customHeight="1">
      <c r="H94" s="67"/>
    </row>
    <row r="95" ht="15" customHeight="1">
      <c r="H95" s="67"/>
    </row>
    <row r="96" ht="15" customHeight="1">
      <c r="H96" s="67"/>
    </row>
    <row r="97" ht="15" customHeight="1">
      <c r="H97" s="67"/>
    </row>
    <row r="98" ht="15" customHeight="1">
      <c r="H98" s="67"/>
    </row>
    <row r="99" ht="15" customHeight="1">
      <c r="H99" s="67"/>
    </row>
    <row r="100" ht="15" customHeight="1">
      <c r="H100" s="67"/>
    </row>
    <row r="101" ht="15" customHeight="1">
      <c r="H101" s="67"/>
    </row>
    <row r="102" ht="15" customHeight="1">
      <c r="H102" s="67"/>
    </row>
    <row r="103" ht="15" customHeight="1">
      <c r="H103" s="67"/>
    </row>
    <row r="104" ht="15" customHeight="1">
      <c r="H104" s="67"/>
    </row>
    <row r="105" ht="15" customHeight="1">
      <c r="H105" s="67"/>
    </row>
    <row r="106" ht="15" customHeight="1">
      <c r="H106" s="67"/>
    </row>
    <row r="107" ht="15" customHeight="1">
      <c r="H107" s="67"/>
    </row>
    <row r="108" ht="15" customHeight="1">
      <c r="H108" s="67"/>
    </row>
    <row r="109" ht="15" customHeight="1">
      <c r="H109" s="67"/>
    </row>
    <row r="110" ht="15" customHeight="1">
      <c r="H110" s="67"/>
    </row>
    <row r="111" ht="15" customHeight="1">
      <c r="H111" s="67"/>
    </row>
    <row r="112" ht="15" customHeight="1">
      <c r="H112" s="67"/>
    </row>
    <row r="113" ht="15" customHeight="1">
      <c r="H113" s="67"/>
    </row>
    <row r="114" ht="15" customHeight="1">
      <c r="H114" s="67"/>
    </row>
    <row r="115" ht="15" customHeight="1">
      <c r="H115" s="67"/>
    </row>
    <row r="116" ht="15" customHeight="1">
      <c r="H116" s="67"/>
    </row>
    <row r="117" ht="15" customHeight="1">
      <c r="H117" s="67"/>
    </row>
    <row r="118" ht="15" customHeight="1">
      <c r="H118" s="67"/>
    </row>
    <row r="119" ht="15" customHeight="1">
      <c r="H119" s="67"/>
    </row>
    <row r="120" ht="15" customHeight="1">
      <c r="H120" s="67"/>
    </row>
    <row r="121" ht="15" customHeight="1">
      <c r="H121" s="67"/>
    </row>
    <row r="122" ht="15" customHeight="1">
      <c r="H122" s="67"/>
    </row>
    <row r="123" ht="15" customHeight="1">
      <c r="H123" s="67"/>
    </row>
    <row r="124" ht="15" customHeight="1">
      <c r="H124" s="67"/>
    </row>
    <row r="125" ht="15" customHeight="1">
      <c r="H125" s="67"/>
    </row>
    <row r="126" ht="15" customHeight="1">
      <c r="H126" s="67"/>
    </row>
    <row r="127" ht="15" customHeight="1">
      <c r="H127" s="67"/>
    </row>
    <row r="128" ht="15" customHeight="1">
      <c r="H128" s="67"/>
    </row>
    <row r="129" ht="15" customHeight="1">
      <c r="H129" s="67"/>
    </row>
    <row r="130" ht="15" customHeight="1">
      <c r="H130" s="67"/>
    </row>
  </sheetData>
  <mergeCells count="1">
    <mergeCell ref="B83:H84"/>
  </mergeCells>
  <printOptions/>
  <pageMargins left="0.75" right="0.75" top="0.7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meiyan</cp:lastModifiedBy>
  <cp:lastPrinted>2007-02-15T03:25:12Z</cp:lastPrinted>
  <dcterms:created xsi:type="dcterms:W3CDTF">2002-02-19T04:18:33Z</dcterms:created>
  <dcterms:modified xsi:type="dcterms:W3CDTF">2007-02-23T08:49:51Z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